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oqbvkWpbQ6qW57nzmsJUWDEt7puH+GdhBu/9bP6ExWLL6N0adHXEVCDRNoiBN35W86Na2GfkWPmODVBVk4K61Q==" workbookSaltValue="UVrrVzU97tlQ/pIlh+ys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C19" i="8" l="1"/>
  <c r="AL16" i="11"/>
  <c r="C16" i="6"/>
  <c r="S19" i="8"/>
  <c r="BD15" i="13"/>
  <c r="AB13" i="21"/>
  <c r="AB19" i="21" s="1"/>
  <c r="BE15" i="13"/>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X12" i="21" l="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BW21"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<sst xmlns="http://schemas.openxmlformats.org/spreadsheetml/2006/main" count="2102" uniqueCount="917">
  <si>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</si>
  <si>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</si>
  <si>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</si>
  <si>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</si>
  <si>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</si>
  <si>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</si>
  <si>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</si>
  <si>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</si>
  <si>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</si>
  <si>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</si>
  <si>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</si>
  <si>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</si>
  <si>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</si>
  <si>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</si>
  <si>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</si>
  <si>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</si>
  <si>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</si>
  <si>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</si>
  <si>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</si>
  <si>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</si>
  <si>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</si>
  <si>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</si>
  <si>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</si>
  <si>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</si>
  <si>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</si>
  <si>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</si>
  <si>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</si>
  <si>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</si>
  <si>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</si>
  <si>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</si>
  <si>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</si>
  <si>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</si>
  <si>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</si>
  <si>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</si>
  <si>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</si>
  <si>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</si>
  <si>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</si>
  <si>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</si>
  <si>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</si>
  <si>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</si>
  <si>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</si>
  <si>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</si>
  <si>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</si>
  <si>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</si>
  <si>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</si>
  <si>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</si>
  <si>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</si>
  <si>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</si>
  <si>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</si>
  <si>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</si>
  <si>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</si>
  <si>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</si>
  <si>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</si>
  <si>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</si>
  <si>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</si>
  <si>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</si>
  <si>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</si>
  <si>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</si>
  <si>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</si>
  <si>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</si>
  <si>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</si>
  <si>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</si>
  <si>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</si>
  <si>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</si>
  <si>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</si>
  <si>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</si>
  <si>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</si>
  <si>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</si>
  <si>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</si>
  <si>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</si>
  <si>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</si>
  <si>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</si>
  <si>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</si>
  <si>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</si>
  <si>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</si>
  <si>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</si>
  <si>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</si>
  <si>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</si>
  <si>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</si>
  <si>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</si>
  <si>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</si>
  <si>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</si>
  <si>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</si>
  <si>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</si>
  <si>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</si>
  <si>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</si>
  <si>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</si>
  <si>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</si>
  <si>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</si>
  <si>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</si>
  <si>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</si>
  <si>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</si>
  <si>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</si>
  <si>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</si>
  <si>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</si>
  <si>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</si>
  <si>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</si>
  <si>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</si>
  <si>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</si>
  <si>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</si>
  <si>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</si>
  <si>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</si>
  <si>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</si>
  <si>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</si>
  <si>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</si>
  <si>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</si>
  <si>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</si>
  <si>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</si>
  <si>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</si>
  <si>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</si>
  <si>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</si>
  <si>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</si>
  <si>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</si>
  <si>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</si>
  <si>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</si>
  <si>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</si>
  <si>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</si>
  <si>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</si>
  <si>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</si>
  <si>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</si>
  <si>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</si>
  <si>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</si>
  <si>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</si>
  <si>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</si>
  <si>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</si>
  <si>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</si>
  <si>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</si>
  <si>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</si>
  <si>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</si>
  <si>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</si>
  <si>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</si>
  <si>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</si>
  <si>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</si>
  <si>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</si>
  <si>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</si>
  <si>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</si>
  <si>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</si>
  <si>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</si>
  <si>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</si>
  <si>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</si>
  <si>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</si>
  <si>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</si>
  <si>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</si>
  <si>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</si>
  <si>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</si>
  <si>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</si>
  <si>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</si>
  <si>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</si>
  <si>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</si>
  <si>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</si>
  <si>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</si>
  <si>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</si>
  <si>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</si>
  <si>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</si>
  <si>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</si>
  <si>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</si>
  <si>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</si>
  <si>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</si>
  <si>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</si>
  <si>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</si>
  <si>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</si>
  <si>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</si>
  <si>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</si>
  <si>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</si>
  <si>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</si>
  <si>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</si>
  <si>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</si>
  <si>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</si>
  <si>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</si>
  <si>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</si>
  <si>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</si>
  <si>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</si>
  <si>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</si>
  <si>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</si>
  <si>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</si>
  <si>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</si>
  <si>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</si>
  <si>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</si>
  <si>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</si>
  <si>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</si>
  <si>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</si>
  <si>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</si>
  <si>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</si>
  <si>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</si>
  <si>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</si>
  <si>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</si>
  <si>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</si>
  <si>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</si>
  <si>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</si>
  <si>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</si>
  <si>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</si>
  <si>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</si>
  <si>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</si>
  <si>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</si>
  <si>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</si>
  <si>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</si>
  <si>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</si>
  <si>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</si>
  <si>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</si>
  <si>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</si>
  <si>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</si>
  <si>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</si>
  <si>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</si>
  <si>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</si>
  <si>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</si>
  <si>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</si>
  <si>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</si>
  <si>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</si>
  <si>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</si>
  <si>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</si>
  <si>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</si>
  <si>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</si>
  <si>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</si>
  <si>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</si>
  <si>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</si>
  <si>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</si>
  <si>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</si>
  <si>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</si>
  <si>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</si>
  <si>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</si>
  <si>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</si>
  <si>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</si>
  <si>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</si>
  <si>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</si>
  <si>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</si>
  <si>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</si>
  <si>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</si>
  <si>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</si>
  <si>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</si>
  <si>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</si>
  <si>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</si>
  <si>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</si>
  <si>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</si>
  <si>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</si>
  <si>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</si>
  <si>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</si>
  <si>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</si>
  <si>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</si>
  <si>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</si>
  <si>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</si>
  <si>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</si>
  <si>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</si>
  <si>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</si>
  <si>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</si>
  <si>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</si>
  <si>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</si>
  <si>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</si>
  <si>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</si>
  <si>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</si>
  <si>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</si>
  <si>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</si>
  <si>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</si>
  <si>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</si>
  <si>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</si>
  <si>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</si>
  <si>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</si>
  <si>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</si>
  <si>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</si>
  <si>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</si>
  <si>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</si>
  <si>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</si>
  <si>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</si>
  <si>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</si>
  <si>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</si>
  <si>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</si>
  <si>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</si>
  <si>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</si>
  <si>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</si>
  <si>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</si>
  <si>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</si>
  <si>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</si>
  <si>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</si>
  <si>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</si>
  <si>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</si>
  <si>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</si>
  <si>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</si>
  <si>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</si>
  <si>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</si>
  <si>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</si>
  <si>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</si>
  <si>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</si>
  <si>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</si>
  <si>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</si>
  <si>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</si>
  <si>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</si>
  <si>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</si>
  <si>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</si>
  <si>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</si>
  <si>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</si>
  <si>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</si>
  <si>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</si>
  <si>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</si>
  <si>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</si>
  <si>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</si>
  <si>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</si>
  <si>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</si>
  <si>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</si>
  <si>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</si>
  <si>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</si>
  <si>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</si>
  <si>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</si>
  <si>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</si>
  <si>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</si>
  <si>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</si>
  <si>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</si>
  <si>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</si>
  <si>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</si>
  <si>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</si>
  <si>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</si>
  <si>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</si>
  <si>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</si>
  <si>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</si>
  <si>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</si>
  <si>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</si>
  <si>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</si>
  <si>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</si>
  <si>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</si>
  <si>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</si>
  <si>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</si>
  <si>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</si>
  <si>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</si>
  <si>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</si>
  <si>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</si>
  <si>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</si>
  <si>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</si>
  <si>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</si>
  <si>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</si>
  <si>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</si>
  <si>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</si>
  <si>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</si>
  <si>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</si>
  <si>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</si>
  <si>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</si>
  <si>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</si>
  <si>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</si>
  <si>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</si>
  <si>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</si>
  <si>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</si>
  <si>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</si>
  <si>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</si>
  <si>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</si>
  <si>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</si>
  <si>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</si>
  <si>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</si>
  <si>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</si>
  <si>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</si>
  <si>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</si>
  <si>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</si>
  <si>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</si>
  <si>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</si>
  <si>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</si>
  <si>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</si>
  <si>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</si>
  <si>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</si>
  <si>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</si>
  <si>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</si>
  <si>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</si>
  <si>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</si>
  <si>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</si>
  <si>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</si>
  <si>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</si>
  <si>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</si>
  <si>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</si>
  <si>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</si>
  <si>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</si>
  <si>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</si>
  <si>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</si>
  <si>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</si>
  <si>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</si>
  <si>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</si>
  <si>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</si>
  <si>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</si>
  <si>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</si>
  <si>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</si>
  <si>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</si>
  <si>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</si>
  <si>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</si>
  <si>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</si>
  <si>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</si>
  <si>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</si>
  <si>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</si>
  <si>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</si>
  <si>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</si>
  <si>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</si>
  <si>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</si>
  <si>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</si>
  <si>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</si>
  <si>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</si>
  <si>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</si>
  <si>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</si>
  <si>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</si>
  <si>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</si>
  <si>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</si>
  <si>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</si>
  <si>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</si>
  <si>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</si>
  <si>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</si>
  <si>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</si>
  <si>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</si>
  <si>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</si>
  <si>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</si>
  <si>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</si>
  <si>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</si>
  <si>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</si>
  <si>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</si>
  <si>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</si>
  <si>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</si>
  <si>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</si>
  <si>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</si>
  <si>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</si>
  <si>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</si>
  <si>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</si>
  <si>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</si>
  <si>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</si>
  <si>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</si>
  <si>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</si>
  <si>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</si>
  <si>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</si>
  <si>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</si>
  <si>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</si>
  <si>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</si>
  <si>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</si>
  <si>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</si>
  <si>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</si>
  <si>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</si>
  <si>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</si>
  <si>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</si>
  <si>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</si>
  <si>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</si>
  <si>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</si>
  <si>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</si>
  <si>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</si>
  <si>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</si>
  <si>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</si>
  <si>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</si>
  <si>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</si>
  <si>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</si>
  <si>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</si>
  <si>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</si>
  <si>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</si>
  <si>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</si>
  <si>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</si>
  <si>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</si>
  <si>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</si>
  <si>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</si>
  <si>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</si>
  <si>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</si>
  <si>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</si>
  <si>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</si>
  <si>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</si>
  <si>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</si>
  <si>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</si>
  <si>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</si>
  <si>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</si>
  <si>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</si>
  <si>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</si>
  <si>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</si>
  <si>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</si>
  <si>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</si>
  <si>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</si>
  <si>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</si>
  <si>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</si>
  <si>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</si>
  <si>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</si>
  <si>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</si>
  <si>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</si>
  <si>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</si>
  <si>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</si>
  <si>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</si>
  <si>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</si>
  <si>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</si>
  <si>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</si>
  <si>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</si>
  <si>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</si>
  <si>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</si>
  <si>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</si>
  <si>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</si>
  <si>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</si>
  <si>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</si>
  <si>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</si>
  <si>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</si>
  <si>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</si>
  <si>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</si>
  <si>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</si>
  <si>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</si>
  <si>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</si>
  <si>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</si>
  <si>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</si>
  <si>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</si>
  <si>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</si>
  <si>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</si>
  <si>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</si>
  <si>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</si>
  <si>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</si>
  <si>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</si>
  <si>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</si>
  <si>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</si>
  <si>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</si>
  <si>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</si>
  <si>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</si>
  <si>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</si>
  <si>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</si>
  <si>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</si>
  <si>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</si>
  <si>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</si>
  <si>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</si>
  <si>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</si>
  <si>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</si>
  <si>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</si>
  <si>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</si>
  <si>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</si>
  <si>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</si>
  <si>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</si>
  <si>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</si>
  <si>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</si>
  <si>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</si>
  <si>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</si>
  <si>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</si>
  <si>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</si>
  <si>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</si>
  <si>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</si>
  <si>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</si>
  <si>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</si>
  <si>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</si>
  <si>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</si>
  <si>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</si>
  <si>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</si>
  <si>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</si>
  <si>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</si>
  <si>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</si>
  <si>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</si>
  <si>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</si>
  <si>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</si>
  <si>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</si>
  <si>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</si>
  <si>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</si>
  <si>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</si>
  <si>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</si>
  <si>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</si>
  <si>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</si>
  <si>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</si>
  <si>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</si>
  <si>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</si>
  <si>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</si>
  <si>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</si>
  <si>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</si>
  <si>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</si>
  <si>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</si>
  <si>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</si>
  <si>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</si>
  <si>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</si>
  <si>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</si>
  <si>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</si>
  <si>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</si>
  <si>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</si>
  <si>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</si>
  <si>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</si>
  <si>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</si>
  <si>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</si>
  <si>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</si>
  <si>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</si>
  <si>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</si>
  <si>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</si>
  <si>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</si>
  <si>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</si>
  <si>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</si>
  <si>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</si>
  <si>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</si>
  <si>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</si>
  <si>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</si>
  <si>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</si>
  <si>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</si>
  <si>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</si>
  <si>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</si>
  <si>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</si>
  <si>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</si>
  <si>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</si>
  <si>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</si>
  <si>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</si>
  <si>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</si>
  <si>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</si>
  <si>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</si>
  <si>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</si>
  <si>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</si>
  <si>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</si>
  <si>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</si>
  <si>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</si>
  <si>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</si>
  <si>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</si>
  <si>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</si>
  <si>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</si>
  <si>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</si>
  <si>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</si>
  <si>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</si>
  <si>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</si>
  <si>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</si>
  <si>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</si>
  <si>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</si>
  <si>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</si>
  <si>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</si>
  <si>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</si>
  <si>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</si>
  <si>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</si>
  <si>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</si>
  <si>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</si>
  <si>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</si>
  <si>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</si>
  <si>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</si>
  <si>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</si>
  <si>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</si>
  <si>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</si>
  <si>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</si>
  <si>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</si>
  <si>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</si>
  <si>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</si>
  <si>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</si>
  <si>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</si>
  <si>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</si>
  <si>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</si>
  <si>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</si>
  <si>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</si>
  <si>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</si>
  <si>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</si>
  <si>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</si>
  <si>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</si>
  <si>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</si>
  <si>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</si>
  <si>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</si>
  <si>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</si>
  <si>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</si>
  <si>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</si>
  <si>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</si>
  <si>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</si>
  <si>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</si>
  <si>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</si>
  <si>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</si>
  <si>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</si>
  <si>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</si>
  <si>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</si>
  <si>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</si>
  <si>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</si>
  <si>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</si>
  <si>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</si>
  <si>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</si>
  <si>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</si>
  <si>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</si>
  <si>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</si>
  <si>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</si>
  <si>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</si>
  <si>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</si>
  <si>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</si>
  <si>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</si>
  <si>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</si>
  <si>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</si>
  <si>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</si>
  <si>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</si>
  <si>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</si>
  <si>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</si>
  <si>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</si>
  <si>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</si>
  <si>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</si>
  <si>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</si>
  <si>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</si>
  <si>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</si>
  <si>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</si>
  <si>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</si>
  <si>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</si>
  <si>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</si>
  <si>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</si>
  <si>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</si>
  <si>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</si>
  <si>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</si>
  <si>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</si>
  <si>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</si>
  <si>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</si>
  <si>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</si>
  <si>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</si>
  <si>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</si>
  <si>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</si>
  <si>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</si>
  <si>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</si>
  <si>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</si>
  <si>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</si>
  <si>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</si>
  <si>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</si>
  <si>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</si>
  <si>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</si>
  <si>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</si>
  <si>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</si>
  <si>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</si>
  <si>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</si>
  <si>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</si>
  <si>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</si>
  <si>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</si>
  <si>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</si>
  <si>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</si>
  <si>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</si>
  <si>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</si>
  <si>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</si>
  <si>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</si>
  <si>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</si>
  <si>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</si>
  <si>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</si>
  <si>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</si>
  <si>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</si>
  <si>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</si>
  <si>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</si>
  <si>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</si>
  <si>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</si>
  <si>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</si>
  <si>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</si>
  <si>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</si>
  <si>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</si>
  <si>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</si>
  <si>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</si>
  <si>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</si>
  <si>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</si>
  <si>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</si>
  <si>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</si>
  <si>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</si>
  <si>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</si>
  <si>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</si>
  <si>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</si>
  <si>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</si>
  <si>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</si>
  <si>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</si>
  <si>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</si>
  <si>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</si>
  <si>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</si>
  <si>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</si>
  <si>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</si>
  <si>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</si>
  <si>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</si>
  <si>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</si>
  <si>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</si>
  <si>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</si>
  <si>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</si>
  <si>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</si>
  <si>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</si>
  <si>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</si>
  <si>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</si>
  <si>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</si>
  <si>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</si>
  <si>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</si>
  <si>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</si>
  <si>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</si>
  <si>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</si>
  <si>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</si>
  <si>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</si>
  <si>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</si>
  <si>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</si>
  <si>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</si>
  <si>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</si>
  <si>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</si>
  <si>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</si>
  <si>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</si>
  <si>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</si>
  <si>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</si>
  <si>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</si>
  <si>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</si>
  <si>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</si>
  <si>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</si>
  <si>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</si>
  <si>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</si>
  <si>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</si>
  <si>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</si>
  <si>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</si>
  <si>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</si>
  <si>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</si>
  <si>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</si>
  <si>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</si>
  <si>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</si>
  <si>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</si>
  <si>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</si>
  <si>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</si>
  <si>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</si>
  <si>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</si>
  <si>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</si>
  <si>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</si>
  <si>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</si>
  <si>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</si>
  <si>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</si>
  <si>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</si>
  <si>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</si>
  <si>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</si>
  <si>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</si>
  <si>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</si>
  <si>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</si>
  <si>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</si>
  <si>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</si>
  <si>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</si>
  <si>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</si>
  <si>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</si>
  <si>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</si>
  <si>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</si>
  <si>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</si>
  <si>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</si>
  <si>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</si>
  <si>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</si>
  <si>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</si>
  <si>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</si>
  <si>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</si>
  <si>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</si>
  <si>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</si>
  <si>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</si>
  <si>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</si>
  <si>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</si>
  <si>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</si>
  <si>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</si>
  <si>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</si>
  <si>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</si>
  <si>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</si>
  <si>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</si>
  <si>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</si>
  <si>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</si>
  <si>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</si>
  <si>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</si>
  <si>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</si>
  <si>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</si>
  <si>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</si>
  <si>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</si>
  <si>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</si>
  <si>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</si>
  <si>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</si>
  <si>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</si>
  <si>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</si>
  <si>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</si>
  <si>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</si>
  <si>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</si>
  <si>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</si>
  <si>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</si>
  <si>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</si>
  <si>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</si>
  <si>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</si>
  <si>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</si>
  <si>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</si>
  <si>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</si>
  <si>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</si>
  <si>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</si>
  <si>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</si>
  <si>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</si>
  <si>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</si>
  <si>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</si>
  <si>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</si>
  <si>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</si>
  <si>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</si>
  <si>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</si>
  <si>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</si>
  <si>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</si>
  <si>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</si>
  <si>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</si>
  <si>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</si>
  <si>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</si>
  <si>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</si>
  <si>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</si>
  <si>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</si>
  <si>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</si>
  <si>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</si>
  <si>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</si>
  <si>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</si>
  <si>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</si>
  <si>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</si>
  <si>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</si>
  <si>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</si>
  <si>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</si>
  <si>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</si>
  <si>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</si>
  <si>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</si>
  <si>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</si>
  <si>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</si>
  <si>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</si>
  <si>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</si>
  <si>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</si>
  <si>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</si>
  <si>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</si>
  <si>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</si>
  <si>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</si>
  <si>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</si>
  <si>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</si>
  <si>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</si>
  <si>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</si>
  <si>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</si>
  <si>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</si>
  <si>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</si>
  <si>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</si>
  <si>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</si>
  <si>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</si>
  <si>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</si>
  <si>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</si>
  <si>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</si>
  <si>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</si>
  <si>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</si>
  <si>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</si>
  <si>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</si>
  <si>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</si>
  <si>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</si>
  <si>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</si>
  <si>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</si>
  <si>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</si>
  <si>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</si>
  <si>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</si>
  <si>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</si>
  <si>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</si>
  <si>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</si>
  <si>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</si>
  <si>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</si>
  <si>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</si>
  <si>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</si>
  <si>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</si>
  <si>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</si>
  <si>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</si>
  <si>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</si>
  <si>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</si>
  <si>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</si>
  <si>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</si>
  <si>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TERUEL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</si>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</sst>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F1oPpPq2G7TRMxqQQbLIPQeg32oA5JOZA1AfF5yyJ1RruL+FmKZnrYKgVv/v9Abb+DPPiXpnlANOVlZPIDLMA==" saltValue="gUHiildv9WnlLB7twBP1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5.0416666666666661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351</v>
      </c>
      <c r="D16" s="225">
        <f>IF(ISNUMBER(IF(D_I="SI",Datos!I16,Datos!I16+Datos!AC16)),IF(D_I="SI",Datos!I16,Datos!I16+Datos!AC16)," - ")</f>
        <v>314</v>
      </c>
      <c r="E16" s="226">
        <f>IF(ISNUMBER(IF(D_I="SI",Datos!J16,Datos!J16+Datos!AD16)),IF(D_I="SI",Datos!J16,Datos!J16+Datos!AD16)," - ")</f>
        <v>3259</v>
      </c>
      <c r="F16" s="226">
        <f>IF(ISNUMBER(IF(D_I="SI",Datos!K16,Datos!K16+Datos!AE16)),IF(D_I="SI",Datos!K16,Datos!K16+Datos!AE16)," - ")</f>
        <v>3292</v>
      </c>
      <c r="G16" s="1034" t="str">
        <f>IF(Datos!E16&lt;&gt;"",Datos!E16,Datos!D16)</f>
        <v>04</v>
      </c>
      <c r="H16" s="227">
        <f>IF(ISNUMBER(IF(D_I="SI",Datos!L16,Datos!L16+Datos!AF16)),IF(D_I="SI",Datos!L16,Datos!L16+Datos!AF16)," - ")</f>
        <v>318</v>
      </c>
      <c r="I16" s="1044" t="str">
        <f>IF(ISNUMBER(Datos!AS16/Datos!BM16),Datos!AS16/Datos!BM16," - ")</f>
        <v xml:space="preserve"> - </v>
      </c>
      <c r="J16" s="1045">
        <f>IF(ISNUMBER(Datos!BY16/Datos!CN16),Datos!BY16/Datos!CN16," - ")</f>
        <v>0</v>
      </c>
      <c r="K16" s="230">
        <f t="shared" si="3"/>
        <v>-9.4017094017094016E-2</v>
      </c>
      <c r="L16" s="1025">
        <f>IF(ISNUMBER(NºAsuntos!I16/NºAsuntos!G16),(NºAsuntos!I16/NºAsuntos!G16)*11," - ")</f>
        <v>1.0625759416767921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139</v>
      </c>
      <c r="F17" s="226">
        <f>IF(ISNUMBER(IF(D_I="SI",Datos!K17,Datos!K17+Datos!AE17)),IF(D_I="SI",Datos!K17,Datos!K17+Datos!AE17)," - ")</f>
        <v>139</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0.47482014388489213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357</v>
      </c>
      <c r="D18" s="1049">
        <f>SUBTOTAL(9,D15:D17)</f>
        <v>320</v>
      </c>
      <c r="E18" s="1050">
        <f>SUBTOTAL(9,E15:E17)</f>
        <v>3398</v>
      </c>
      <c r="F18" s="1050">
        <f>SUBTOTAL(9,F15:F17)</f>
        <v>3431</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363</v>
      </c>
      <c r="D19" s="1071">
        <f>SUBTOTAL(9,D9:D18)</f>
        <v>326</v>
      </c>
      <c r="E19" s="1072">
        <f>SUBTOTAL(9,E9:E18)</f>
        <v>3401</v>
      </c>
      <c r="F19" s="1072">
        <f>SUBTOTAL(9,F9:F18)</f>
        <v>3435</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YzBy3VJG8kIrOeDalWaSGAozJ/qp31dpq3Q1Z7eOjaaTt6ZhKDBQuJQE9U82IXOCt7CeISSCVjTsPrA95wdAg==" saltValue="34uMhlh1a3IcOktEqkP7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jdGXhT04pfRzCnKlRHflvLcDisbS5fhvAOPneo6TZmuqL7r1PMeAXnAhxXtQpLNg4n7/vglRjxQIBI8GduchQ==" saltValue="vFanpFz4Xf9psHgzhw0h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4</v>
      </c>
      <c r="L10" s="181">
        <v>5</v>
      </c>
      <c r="M10" s="181">
        <v>4</v>
      </c>
      <c r="N10" s="181">
        <v>0</v>
      </c>
      <c r="O10" s="181">
        <v>0</v>
      </c>
      <c r="P10" s="181">
        <v>0</v>
      </c>
      <c r="Q10" s="181">
        <v>0</v>
      </c>
      <c r="R10" s="181">
        <v>3</v>
      </c>
      <c r="S10" s="181">
        <v>5</v>
      </c>
      <c r="T10" s="181">
        <v>10</v>
      </c>
      <c r="U10" s="181">
        <v>9</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10</v>
      </c>
      <c r="BA10" s="129">
        <f t="shared" si="0"/>
        <v>9</v>
      </c>
      <c r="BB10" s="129">
        <f t="shared" si="0"/>
        <v>6</v>
      </c>
      <c r="BC10" s="125">
        <f t="shared" si="0"/>
        <v>1</v>
      </c>
      <c r="BD10" s="126">
        <f>IF(ISNUMBER(BA10/AZ10),BA10/AZ10," - ")</f>
        <v>0.9</v>
      </c>
      <c r="BE10" s="127">
        <f>IF(ISNUMBER(BB10/BA10),BB10/BA10, " - ")</f>
        <v>0.66666666666666663</v>
      </c>
      <c r="BF10" s="127">
        <f>IF(ISNUMBER(BC10/BA10),BC10/BA10, " - ")</f>
        <v>0.1111111111111111</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787</v>
      </c>
      <c r="J12" s="183">
        <v>2447</v>
      </c>
      <c r="K12" s="183">
        <v>2174</v>
      </c>
      <c r="L12" s="183">
        <v>1063</v>
      </c>
      <c r="M12" s="183">
        <v>739</v>
      </c>
      <c r="N12" s="183">
        <v>958</v>
      </c>
      <c r="O12" s="181">
        <v>839</v>
      </c>
      <c r="P12" s="183">
        <v>465</v>
      </c>
      <c r="Q12" s="183">
        <v>725</v>
      </c>
      <c r="R12" s="183">
        <v>1218</v>
      </c>
      <c r="S12" s="183">
        <v>719</v>
      </c>
      <c r="T12" s="183">
        <v>2141</v>
      </c>
      <c r="U12" s="183">
        <v>2088</v>
      </c>
      <c r="V12" s="183">
        <v>787</v>
      </c>
      <c r="W12" s="183">
        <v>430</v>
      </c>
      <c r="X12" s="189">
        <v>1024</v>
      </c>
      <c r="Y12" s="191">
        <v>30</v>
      </c>
      <c r="Z12" s="181">
        <v>198</v>
      </c>
      <c r="AA12" s="181">
        <v>202</v>
      </c>
      <c r="AB12" s="181">
        <v>26</v>
      </c>
      <c r="AC12" s="183">
        <v>0</v>
      </c>
      <c r="AD12" s="183">
        <v>0</v>
      </c>
      <c r="AE12" s="183">
        <v>0</v>
      </c>
      <c r="AF12" s="189">
        <v>0</v>
      </c>
      <c r="AG12" s="202">
        <v>32</v>
      </c>
      <c r="AH12" s="183">
        <v>142</v>
      </c>
      <c r="AI12" s="183">
        <v>144</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751</v>
      </c>
      <c r="AZ12" s="127">
        <f t="shared" si="1"/>
        <v>2283</v>
      </c>
      <c r="BA12" s="127">
        <f t="shared" si="1"/>
        <v>2232</v>
      </c>
      <c r="BB12" s="127">
        <f t="shared" si="1"/>
        <v>817</v>
      </c>
      <c r="BC12" s="125">
        <f>IF(ISNUMBER(X12),X12," - ")</f>
        <v>1024</v>
      </c>
      <c r="BD12" s="126">
        <f t="shared" si="2"/>
        <v>0.9776609724047306</v>
      </c>
      <c r="BE12" s="127">
        <f t="shared" si="3"/>
        <v>0.36603942652329752</v>
      </c>
      <c r="BF12" s="127">
        <f t="shared" si="4"/>
        <v>0.45878136200716846</v>
      </c>
      <c r="BG12" s="196">
        <f t="shared" si="5"/>
        <v>1.3593189964157706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793</v>
      </c>
      <c r="J13" s="184">
        <f t="shared" si="6"/>
        <v>2450</v>
      </c>
      <c r="K13" s="184">
        <f t="shared" si="6"/>
        <v>2178</v>
      </c>
      <c r="L13" s="184">
        <f t="shared" si="6"/>
        <v>1068</v>
      </c>
      <c r="M13" s="184">
        <f t="shared" si="6"/>
        <v>743</v>
      </c>
      <c r="N13" s="184">
        <f t="shared" si="6"/>
        <v>958</v>
      </c>
      <c r="O13" s="184">
        <f t="shared" si="6"/>
        <v>839</v>
      </c>
      <c r="P13" s="184">
        <f t="shared" si="6"/>
        <v>465</v>
      </c>
      <c r="Q13" s="184">
        <f t="shared" si="6"/>
        <v>725</v>
      </c>
      <c r="R13" s="184">
        <f t="shared" si="6"/>
        <v>1221</v>
      </c>
      <c r="S13" s="184">
        <f t="shared" si="6"/>
        <v>724</v>
      </c>
      <c r="T13" s="184">
        <f t="shared" si="6"/>
        <v>2151</v>
      </c>
      <c r="U13" s="184">
        <f t="shared" si="6"/>
        <v>2097</v>
      </c>
      <c r="V13" s="184">
        <f t="shared" si="6"/>
        <v>793</v>
      </c>
      <c r="W13" s="184">
        <f t="shared" si="6"/>
        <v>431</v>
      </c>
      <c r="X13" s="184">
        <f t="shared" si="6"/>
        <v>1024</v>
      </c>
      <c r="Y13" s="184">
        <f t="shared" si="6"/>
        <v>30</v>
      </c>
      <c r="Z13" s="184">
        <f t="shared" si="6"/>
        <v>198</v>
      </c>
      <c r="AA13" s="184">
        <f t="shared" si="6"/>
        <v>202</v>
      </c>
      <c r="AB13" s="184">
        <f t="shared" si="6"/>
        <v>26</v>
      </c>
      <c r="AC13" s="184">
        <f t="shared" si="6"/>
        <v>0</v>
      </c>
      <c r="AD13" s="184">
        <f t="shared" si="6"/>
        <v>0</v>
      </c>
      <c r="AE13" s="184">
        <f t="shared" si="6"/>
        <v>0</v>
      </c>
      <c r="AF13" s="184">
        <f>SUBTOTAL(9,AF9:AF12)</f>
        <v>0</v>
      </c>
      <c r="AG13" s="184">
        <f t="shared" ref="AG13:AT13" si="7">SUBTOTAL(9,AG8:AG12)</f>
        <v>32</v>
      </c>
      <c r="AH13" s="184">
        <f t="shared" si="7"/>
        <v>142</v>
      </c>
      <c r="AI13" s="184">
        <f t="shared" si="7"/>
        <v>144</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756</v>
      </c>
      <c r="AZ13" s="184">
        <f>SUBTOTAL(9,AZ8:AZ12)</f>
        <v>2293</v>
      </c>
      <c r="BA13" s="184">
        <f>SUBTOTAL(9,BA8:BA12)</f>
        <v>2241</v>
      </c>
      <c r="BB13" s="184">
        <f>SUBTOTAL(9,BB8:BB12)</f>
        <v>823</v>
      </c>
      <c r="BC13" s="184">
        <f>SUBTOTAL(9,BC8:BC12)</f>
        <v>1025</v>
      </c>
      <c r="BD13" s="205">
        <f>IF(ISNUMBER(BA13/AZ13),BA13/AZ13," - ")</f>
        <v>0.97732228521587439</v>
      </c>
      <c r="BE13" s="206">
        <f>IF(ISNUMBER(BB13/BA13),BB13/BA13, " - ")</f>
        <v>0.36724676483712626</v>
      </c>
      <c r="BF13" s="206">
        <f>IF(ISNUMBER(BC13/BA13),BC13/BA13, " - ")</f>
        <v>0.45738509593931281</v>
      </c>
      <c r="BG13" s="207">
        <f>IF(ISNUMBER((AY13+AZ13)/BA13),(AY13+AZ13)/BA13," - ")</f>
        <v>1.360553324408746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314</v>
      </c>
      <c r="J16" s="183">
        <v>3259</v>
      </c>
      <c r="K16" s="183">
        <v>3292</v>
      </c>
      <c r="L16" s="183">
        <v>318</v>
      </c>
      <c r="M16" s="183">
        <v>299</v>
      </c>
      <c r="N16" s="183">
        <v>2504</v>
      </c>
      <c r="O16" s="181">
        <v>21</v>
      </c>
      <c r="P16" s="183">
        <v>58</v>
      </c>
      <c r="Q16" s="183">
        <v>30</v>
      </c>
      <c r="R16" s="183">
        <v>95</v>
      </c>
      <c r="S16" s="183">
        <v>275</v>
      </c>
      <c r="T16" s="183">
        <v>3319</v>
      </c>
      <c r="U16" s="183">
        <v>3302</v>
      </c>
      <c r="V16" s="183">
        <v>314</v>
      </c>
      <c r="W16" s="183">
        <v>294</v>
      </c>
      <c r="X16" s="189">
        <v>2457</v>
      </c>
      <c r="Y16" s="202">
        <v>0</v>
      </c>
      <c r="Z16" s="183">
        <v>0</v>
      </c>
      <c r="AA16" s="183">
        <v>0</v>
      </c>
      <c r="AB16" s="183">
        <v>0</v>
      </c>
      <c r="AC16" s="183">
        <v>1</v>
      </c>
      <c r="AD16" s="183">
        <v>17</v>
      </c>
      <c r="AE16" s="183">
        <v>18</v>
      </c>
      <c r="AF16" s="189">
        <v>0</v>
      </c>
      <c r="AG16" s="202">
        <v>0</v>
      </c>
      <c r="AH16" s="183">
        <v>0</v>
      </c>
      <c r="AI16" s="183">
        <v>0</v>
      </c>
      <c r="AJ16" s="203">
        <v>0</v>
      </c>
      <c r="AK16" s="182">
        <v>0</v>
      </c>
      <c r="AL16" s="183">
        <v>1</v>
      </c>
      <c r="AM16" s="183">
        <v>0</v>
      </c>
      <c r="AN16" s="189">
        <v>1</v>
      </c>
      <c r="AO16" s="259">
        <v>3</v>
      </c>
      <c r="AP16" s="155">
        <v>3</v>
      </c>
      <c r="AQ16" s="155">
        <v>3</v>
      </c>
      <c r="AR16" s="155">
        <v>3</v>
      </c>
      <c r="AS16" s="340" t="s">
        <v>487</v>
      </c>
      <c r="AT16" s="203"/>
      <c r="AU16" s="202"/>
      <c r="AV16" s="203"/>
      <c r="AW16" s="202"/>
      <c r="AX16" s="203"/>
      <c r="AY16" s="126">
        <f t="shared" si="9"/>
        <v>275</v>
      </c>
      <c r="AZ16" s="127">
        <f t="shared" si="9"/>
        <v>3319</v>
      </c>
      <c r="BA16" s="127">
        <f t="shared" si="9"/>
        <v>3302</v>
      </c>
      <c r="BB16" s="127">
        <f t="shared" si="9"/>
        <v>314</v>
      </c>
      <c r="BC16" s="125">
        <f>IF(ISNUMBER(W16),W16," - ")</f>
        <v>294</v>
      </c>
      <c r="BD16" s="126">
        <f t="shared" ref="BD16" si="11">IF(ISNUMBER(BA16/AZ16),BA16/AZ16," - ")</f>
        <v>0.99487797529376321</v>
      </c>
      <c r="BE16" s="127">
        <f t="shared" ref="BE16" si="12">IF(ISNUMBER(BB16/BA16),BB16/BA16, " - ")</f>
        <v>9.5093882495457305E-2</v>
      </c>
      <c r="BF16" s="127">
        <f t="shared" ref="BF16" si="13">IF(ISNUMBER(BC16/BA16),BC16/BA16, " - ")</f>
        <v>8.9036947304663841E-2</v>
      </c>
      <c r="BG16" s="196">
        <f t="shared" si="10"/>
        <v>1.0884312537855845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139</v>
      </c>
      <c r="K17" s="183">
        <v>139</v>
      </c>
      <c r="L17" s="183">
        <v>6</v>
      </c>
      <c r="M17" s="183">
        <v>41</v>
      </c>
      <c r="N17" s="183">
        <v>102</v>
      </c>
      <c r="O17" s="183">
        <v>0</v>
      </c>
      <c r="P17" s="183">
        <v>0</v>
      </c>
      <c r="Q17" s="183">
        <v>0</v>
      </c>
      <c r="R17" s="183">
        <v>5</v>
      </c>
      <c r="S17" s="183">
        <v>4</v>
      </c>
      <c r="T17" s="183">
        <v>156</v>
      </c>
      <c r="U17" s="183">
        <v>154</v>
      </c>
      <c r="V17" s="183">
        <v>6</v>
      </c>
      <c r="W17" s="183">
        <v>55</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156</v>
      </c>
      <c r="BA17" s="129">
        <f t="shared" si="14"/>
        <v>154</v>
      </c>
      <c r="BB17" s="129">
        <f t="shared" si="14"/>
        <v>6</v>
      </c>
      <c r="BC17" s="125">
        <f>IF(ISNUMBER(W17),W17," - ")</f>
        <v>55</v>
      </c>
      <c r="BD17" s="126">
        <f>IF(ISNUMBER(BA17/AZ17),BA17/AZ17," - ")</f>
        <v>0.98717948717948723</v>
      </c>
      <c r="BE17" s="127">
        <f>IF(ISNUMBER(BB17/BA17),BB17/BA17, " - ")</f>
        <v>3.896103896103896E-2</v>
      </c>
      <c r="BF17" s="127">
        <f>IF(ISNUMBER(BC17/BA17),BC17/BA17, " - ")</f>
        <v>0.35714285714285715</v>
      </c>
      <c r="BG17" s="196">
        <f>IF(ISNUMBER((AY17+AZ17)/BA17),(AY17+AZ17)/BA17," - ")</f>
        <v>1.0389610389610389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320</v>
      </c>
      <c r="J18" s="184">
        <f t="shared" si="15"/>
        <v>3398</v>
      </c>
      <c r="K18" s="184">
        <f t="shared" si="15"/>
        <v>3431</v>
      </c>
      <c r="L18" s="184">
        <f t="shared" si="15"/>
        <v>324</v>
      </c>
      <c r="M18" s="184">
        <f t="shared" si="15"/>
        <v>340</v>
      </c>
      <c r="N18" s="184">
        <f t="shared" si="15"/>
        <v>2606</v>
      </c>
      <c r="O18" s="184">
        <f t="shared" si="15"/>
        <v>21</v>
      </c>
      <c r="P18" s="184">
        <f t="shared" si="15"/>
        <v>58</v>
      </c>
      <c r="Q18" s="184">
        <f t="shared" si="15"/>
        <v>30</v>
      </c>
      <c r="R18" s="184">
        <f t="shared" si="15"/>
        <v>100</v>
      </c>
      <c r="S18" s="184">
        <f t="shared" si="15"/>
        <v>279</v>
      </c>
      <c r="T18" s="184">
        <f t="shared" si="15"/>
        <v>3475</v>
      </c>
      <c r="U18" s="184">
        <f t="shared" si="15"/>
        <v>3456</v>
      </c>
      <c r="V18" s="184">
        <f t="shared" si="15"/>
        <v>320</v>
      </c>
      <c r="W18" s="184">
        <f t="shared" si="15"/>
        <v>349</v>
      </c>
      <c r="X18" s="184">
        <f t="shared" si="15"/>
        <v>2528</v>
      </c>
      <c r="Y18" s="184">
        <f t="shared" si="15"/>
        <v>0</v>
      </c>
      <c r="Z18" s="184">
        <f t="shared" si="15"/>
        <v>0</v>
      </c>
      <c r="AA18" s="184">
        <f t="shared" si="15"/>
        <v>0</v>
      </c>
      <c r="AB18" s="184">
        <f t="shared" si="15"/>
        <v>0</v>
      </c>
      <c r="AC18" s="184">
        <f t="shared" si="15"/>
        <v>1</v>
      </c>
      <c r="AD18" s="184">
        <f t="shared" si="15"/>
        <v>17</v>
      </c>
      <c r="AE18" s="184">
        <f t="shared" si="15"/>
        <v>18</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279</v>
      </c>
      <c r="AZ18" s="184">
        <f>SUBTOTAL(9,AZ14:AZ17)</f>
        <v>3475</v>
      </c>
      <c r="BA18" s="184">
        <f>SUBTOTAL(9,BA14:BA17)</f>
        <v>3456</v>
      </c>
      <c r="BB18" s="184">
        <f>SUBTOTAL(9,BB14:BB17)</f>
        <v>320</v>
      </c>
      <c r="BC18" s="184">
        <f>SUBTOTAL(9,BC14:BC17)</f>
        <v>349</v>
      </c>
      <c r="BD18" s="205">
        <f>IF(ISNUMBER(BA18/AZ18),BA18/AZ18," - ")</f>
        <v>0.99453237410071937</v>
      </c>
      <c r="BE18" s="206">
        <f>IF(ISNUMBER(BB18/BA18),BB18/BA18, " - ")</f>
        <v>9.2592592592592587E-2</v>
      </c>
      <c r="BF18" s="206">
        <f>IF(ISNUMBER(BC18/BA18),BC18/BA18, " - ")</f>
        <v>0.10098379629629629</v>
      </c>
      <c r="BG18" s="207">
        <f>IF(ISNUMBER((AY18+AZ18)/BA18),(AY18+AZ18)/BA18," - ")</f>
        <v>1.0862268518518519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1113</v>
      </c>
      <c r="J19" s="134">
        <f t="shared" si="18"/>
        <v>5848</v>
      </c>
      <c r="K19" s="134">
        <f t="shared" si="18"/>
        <v>5609</v>
      </c>
      <c r="L19" s="134">
        <f t="shared" si="18"/>
        <v>1392</v>
      </c>
      <c r="M19" s="134">
        <f t="shared" si="18"/>
        <v>1083</v>
      </c>
      <c r="N19" s="134">
        <f t="shared" si="18"/>
        <v>3564</v>
      </c>
      <c r="O19" s="134">
        <f t="shared" si="18"/>
        <v>860</v>
      </c>
      <c r="P19" s="134">
        <f t="shared" si="18"/>
        <v>523</v>
      </c>
      <c r="Q19" s="134">
        <f t="shared" si="18"/>
        <v>755</v>
      </c>
      <c r="R19" s="134">
        <f t="shared" si="18"/>
        <v>1321</v>
      </c>
      <c r="S19" s="134">
        <f t="shared" si="18"/>
        <v>1003</v>
      </c>
      <c r="T19" s="134">
        <f t="shared" si="18"/>
        <v>5626</v>
      </c>
      <c r="U19" s="134">
        <f t="shared" si="18"/>
        <v>5553</v>
      </c>
      <c r="V19" s="134">
        <f t="shared" si="18"/>
        <v>1113</v>
      </c>
      <c r="W19" s="134">
        <f t="shared" si="18"/>
        <v>780</v>
      </c>
      <c r="X19" s="134">
        <f t="shared" si="18"/>
        <v>3552</v>
      </c>
      <c r="Y19" s="134">
        <f t="shared" si="18"/>
        <v>30</v>
      </c>
      <c r="Z19" s="134">
        <f t="shared" si="18"/>
        <v>198</v>
      </c>
      <c r="AA19" s="134">
        <f t="shared" si="18"/>
        <v>202</v>
      </c>
      <c r="AB19" s="134">
        <f t="shared" si="18"/>
        <v>26</v>
      </c>
      <c r="AC19" s="134">
        <f t="shared" si="18"/>
        <v>1</v>
      </c>
      <c r="AD19" s="134">
        <f t="shared" si="18"/>
        <v>17</v>
      </c>
      <c r="AE19" s="134">
        <f t="shared" si="18"/>
        <v>18</v>
      </c>
      <c r="AF19" s="134">
        <f t="shared" si="18"/>
        <v>0</v>
      </c>
      <c r="AG19" s="134">
        <f t="shared" si="18"/>
        <v>32</v>
      </c>
      <c r="AH19" s="134">
        <f t="shared" si="18"/>
        <v>142</v>
      </c>
      <c r="AI19" s="134">
        <f t="shared" si="18"/>
        <v>144</v>
      </c>
      <c r="AJ19" s="134">
        <f t="shared" si="18"/>
        <v>30</v>
      </c>
      <c r="AK19" s="134">
        <f t="shared" si="18"/>
        <v>0</v>
      </c>
      <c r="AL19" s="134">
        <f t="shared" si="18"/>
        <v>1</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1035</v>
      </c>
      <c r="AZ19" s="134">
        <f>SUBTOTAL(9,AZ9:AZ18)</f>
        <v>5768</v>
      </c>
      <c r="BA19" s="134">
        <f>SUBTOTAL(9,BA9:BA18)</f>
        <v>5697</v>
      </c>
      <c r="BB19" s="134">
        <f>SUBTOTAL(9,BB9:BB18)</f>
        <v>1143</v>
      </c>
      <c r="BC19" s="135">
        <f>SUBTOTAL(9,BC9:BC18)</f>
        <v>1374</v>
      </c>
      <c r="BD19" s="213">
        <f>IF(ISNUMBER(BA19/AZ19),BA19/AZ19," - ")</f>
        <v>0.98769070735090148</v>
      </c>
      <c r="BE19" s="210">
        <f>IF(ISNUMBER(BB19/BA19),BB19/BA19, " - ")</f>
        <v>0.20063191153238547</v>
      </c>
      <c r="BF19" s="210">
        <f>IF(ISNUMBER(BC19/BA19),BC19/BA19, " - ")</f>
        <v>0.24117956819378619</v>
      </c>
      <c r="BG19" s="135">
        <f>IF(ISNUMBER((AY19+AZ19)/BA19),(AY19+AZ19)/BA19," - ")</f>
        <v>1.1941372652273126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NQojH6DkPgryWtdOkRjO3j0ExXoU1DlATvs/Y5lFFRGBCSMov8xOFjJV4+HiNk7xxu7aRBgrtC34hLvKlYlQ==" saltValue="htbPNwXUdDMsH3kzG83R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rClSJNK4/03ePss9DbrBQR6lanDfrnzVxKmN5Oftz4+vepppnHu0z2G+dAwCKC+FBcyA7mWUtxa+ZEoCSmmg==" saltValue="n1jgG+kaFeY85q1T370/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198</v>
      </c>
      <c r="O12" s="334"/>
      <c r="P12" s="334"/>
      <c r="Q12" s="226">
        <f>IF(ISNUMBER(Datos!P12),Datos!P12,0)</f>
        <v>465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1218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739</v>
      </c>
      <c r="BD12" s="229">
        <f>IF(ISNUMBER(Datos!N12),Datos!N12," - ")</f>
        <v>958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0.89829867674858221</v>
      </c>
      <c r="BH12" s="260">
        <f>IF(ISNUMBER(((IF(J_V="SI",Datos!L12/Datos!K12,(Datos!L12+Datos!AB12)/(Datos!K12+Datos!AA12)))*11)/factor_trimestre),((IF(J_V="SI",Datos!L12/Datos!K12,(Datos!L12+Datos!AB12)/(Datos!K12+Datos!AA12)))*11)/factor_trimestre," - ")</f>
        <v>5.0416666666666661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-0.17591339648173207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198</v>
      </c>
      <c r="O13" s="900">
        <f t="shared" si="0"/>
        <v>0</v>
      </c>
      <c r="P13" s="900">
        <f t="shared" si="0"/>
        <v>0</v>
      </c>
      <c r="Q13" s="899">
        <f t="shared" si="0"/>
        <v>465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725</v>
      </c>
      <c r="AD13" s="899">
        <f t="shared" si="1"/>
        <v>0</v>
      </c>
      <c r="AE13" s="899">
        <f t="shared" si="1"/>
        <v>0</v>
      </c>
      <c r="AF13" s="899">
        <f t="shared" si="1"/>
        <v>5</v>
      </c>
      <c r="AG13" s="899">
        <f t="shared" si="1"/>
        <v>0</v>
      </c>
      <c r="AH13" s="899">
        <f t="shared" si="1"/>
        <v>26</v>
      </c>
      <c r="AI13" s="899">
        <f t="shared" si="1"/>
        <v>0</v>
      </c>
      <c r="AJ13" s="899">
        <f t="shared" si="1"/>
        <v>0</v>
      </c>
      <c r="AK13" s="899">
        <f t="shared" si="1"/>
        <v>0</v>
      </c>
      <c r="AL13" s="899">
        <f t="shared" si="1"/>
        <v>0</v>
      </c>
      <c r="AM13" s="899">
        <f t="shared" si="1"/>
        <v>1221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743</v>
      </c>
      <c r="BD13" s="899">
        <f t="shared" si="1"/>
        <v>958</v>
      </c>
      <c r="BE13" s="899">
        <f t="shared" si="1"/>
        <v>0</v>
      </c>
      <c r="BF13" s="899">
        <f t="shared" si="1"/>
        <v>0</v>
      </c>
      <c r="BG13" s="899">
        <f>IF(ISNUMBER(Datos!K13/Datos!J13),Datos!K13/Datos!J13," - ")</f>
        <v>0.88897959183673469</v>
      </c>
      <c r="BH13" s="903">
        <f>IF(ISNUMBER(((Datos!L13/Datos!K13)*11)/factor_trimestre),((Datos!L13/Datos!K13)*11)/factor_trimestre," - ")</f>
        <v>5.3939393939393945</v>
      </c>
      <c r="BI13" s="899">
        <f>IF(ISNUMBER('Resol  Asuntos'!D13/NºAsuntos!G13),'Resol  Asuntos'!D13/NºAsuntos!G13," - ")</f>
        <v>0.31218487394957983</v>
      </c>
      <c r="BJ13" s="899" t="str">
        <f>IF(ISNUMBER(Datos!CI13/Datos!CJ13),Datos!CI13/Datos!CJ13," - ")</f>
        <v xml:space="preserve"> - </v>
      </c>
      <c r="BK13" s="899">
        <f>SUBTOTAL(9,BK8:BK12)</f>
        <v>0</v>
      </c>
      <c r="BL13" s="899">
        <f>IF(ISNUMBER((I13-AB13+L13)/(F13)),(I13-AB13+L13)/(F13)," - ")</f>
        <v>-0.66666666666666663</v>
      </c>
      <c r="BM13" s="904">
        <f>SUBTOTAL(9,BM9:BM12)</f>
        <v>-0.17591339648173207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351</v>
      </c>
      <c r="G16" s="598">
        <f>IF(ISNUMBER(IF(D_I="SI",Datos!I16,Datos!I16+Datos!AC16)),IF(D_I="SI",Datos!I16,Datos!I16+Datos!AC16)," - ")</f>
        <v>314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3292</v>
      </c>
      <c r="AC16" s="226">
        <f>IF(ISNUMBER(Datos!Q16),Datos!Q16," - ")</f>
        <v>30</v>
      </c>
      <c r="AD16" s="334"/>
      <c r="AE16" s="484"/>
      <c r="AF16" s="596">
        <f>IF(ISNUMBER(IF(D_I="SI",Datos!L16,Datos!L16+Datos!AF16)),IF(D_I="SI",Datos!L16,Datos!L16+Datos!AF16)," - ")</f>
        <v>318</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299</v>
      </c>
      <c r="BD16" s="229">
        <f>IF(ISNUMBER(Datos!N16),Datos!N16," - ")</f>
        <v>2504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1.0101258054617981</v>
      </c>
      <c r="BH16" s="260">
        <f>IF(ISNUMBER(((IF(D_I="SI",Datos!L16/Datos!K16,(Datos!L16+Datos!AF16)/(Datos!K16+Datos!AE16)))*11)/factor_trimestre),((IF(D_I="SI",Datos!L16/Datos!K16,(Datos!L16+Datos!AF16)/(Datos!K16+Datos!AE16)))*11)/factor_trimestre," - ")</f>
        <v>1.0625759416767921</v>
      </c>
      <c r="BI16" s="243">
        <f>IF(ISNUMBER('Resol  Asuntos'!D16/NºAsuntos!G16),'Resol  Asuntos'!D16/NºAsuntos!G16," - ")</f>
        <v>9.082624544349939E-2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139</v>
      </c>
      <c r="AC17" s="226">
        <f>IF(ISNUMBER(Datos!Q17),Datos!Q17," - ")</f>
        <v>0</v>
      </c>
      <c r="AD17" s="334"/>
      <c r="AE17" s="484"/>
      <c r="AF17" s="332">
        <f>IF(ISNUMBER(Datos!L17),Datos!L17,"-")</f>
        <v>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41</v>
      </c>
      <c r="BD17" s="229">
        <f>IF(ISNUMBER(Datos!N17),Datos!N17," - ")</f>
        <v>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0.47482014388489213</v>
      </c>
      <c r="BI17" s="243">
        <f>IF(ISNUMBER('Resol  Asuntos'!D17/NºAsuntos!G17),'Resol  Asuntos'!D17/NºAsuntos!G17," - ")</f>
        <v>0.29496402877697842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351</v>
      </c>
      <c r="G18" s="898">
        <f>SUBTOTAL(9,G15:G17)</f>
        <v>320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3431</v>
      </c>
      <c r="AC18" s="899">
        <f t="shared" si="4"/>
        <v>30</v>
      </c>
      <c r="AD18" s="899">
        <f t="shared" si="4"/>
        <v>0</v>
      </c>
      <c r="AE18" s="899">
        <f t="shared" si="4"/>
        <v>0</v>
      </c>
      <c r="AF18" s="899">
        <f t="shared" si="4"/>
        <v>324</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340</v>
      </c>
      <c r="BD18" s="899">
        <f t="shared" si="4"/>
        <v>2606</v>
      </c>
      <c r="BE18" s="899">
        <f t="shared" si="4"/>
        <v>0</v>
      </c>
      <c r="BF18" s="899">
        <f t="shared" si="4"/>
        <v>0</v>
      </c>
      <c r="BG18" s="899">
        <f>IF(ISNUMBER(Datos!K18/Datos!J18),Datos!K18/Datos!J18," - ")</f>
        <v>1.0097115950559152</v>
      </c>
      <c r="BH18" s="903">
        <f>IF(ISNUMBER(((Datos!L18/Datos!K18)*11)/factor_trimestre),((Datos!L18/Datos!K18)*11)/factor_trimestre," - ")</f>
        <v>1.0387642086855144</v>
      </c>
      <c r="BI18" s="899">
        <f>SUBTOTAL(9,BI15:BI17)</f>
        <v>0.38579027422047779</v>
      </c>
      <c r="BJ18" s="899">
        <f>SUBTOTAL(9,BJ15:BJ17)</f>
        <v>0</v>
      </c>
      <c r="BK18" s="899">
        <f>SUBTOTAL(9,BK15:BK17)</f>
        <v>0</v>
      </c>
      <c r="BL18" s="899">
        <f>IF(ISNUMBER((I18-AB18+L18)/(F18)),(I18-AB18+L18)/(F18)," - ")</f>
        <v>-9.7749287749287745</v>
      </c>
      <c r="BM18" s="905">
        <f>IF(ISNUMBER((Datos!P18-Datos!Q18)/(Datos!R18-Datos!P18+Datos!Q18)),(Datos!P18-Datos!Q18)/(Datos!R18-Datos!P18+Datos!Q18)," - ")</f>
        <v>0.3888888888888889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357</v>
      </c>
      <c r="G19" s="820">
        <f t="shared" si="6"/>
        <v>326</v>
      </c>
      <c r="H19" s="822">
        <f t="shared" si="6"/>
        <v>0</v>
      </c>
      <c r="I19" s="820">
        <f t="shared" si="6"/>
        <v>0</v>
      </c>
      <c r="J19" s="822">
        <f t="shared" si="6"/>
        <v>0</v>
      </c>
      <c r="K19" s="822">
        <f t="shared" si="6"/>
        <v>0</v>
      </c>
      <c r="L19" s="881">
        <f t="shared" si="6"/>
        <v>0</v>
      </c>
      <c r="M19" s="881">
        <f t="shared" si="6"/>
        <v>0</v>
      </c>
      <c r="N19" s="881">
        <f t="shared" si="6"/>
        <v>198</v>
      </c>
      <c r="O19" s="881">
        <f t="shared" si="6"/>
        <v>0</v>
      </c>
      <c r="P19" s="881">
        <f t="shared" si="6"/>
        <v>0</v>
      </c>
      <c r="Q19" s="822">
        <f t="shared" si="6"/>
        <v>523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3435</v>
      </c>
      <c r="AC19" s="821">
        <f t="shared" si="7"/>
        <v>755</v>
      </c>
      <c r="AD19" s="821">
        <f t="shared" si="7"/>
        <v>0</v>
      </c>
      <c r="AE19" s="821">
        <f t="shared" si="7"/>
        <v>0</v>
      </c>
      <c r="AF19" s="828">
        <f t="shared" si="7"/>
        <v>329</v>
      </c>
      <c r="AG19" s="828">
        <f t="shared" si="7"/>
        <v>0</v>
      </c>
      <c r="AH19" s="828">
        <f t="shared" si="7"/>
        <v>26</v>
      </c>
      <c r="AI19" s="828">
        <f t="shared" si="7"/>
        <v>0</v>
      </c>
      <c r="AJ19" s="821">
        <f t="shared" si="7"/>
        <v>0</v>
      </c>
      <c r="AK19" s="828">
        <f t="shared" si="7"/>
        <v>0</v>
      </c>
      <c r="AL19" s="828">
        <f t="shared" si="7"/>
        <v>0</v>
      </c>
      <c r="AM19" s="828">
        <f t="shared" si="7"/>
        <v>1321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1083</v>
      </c>
      <c r="BD19" s="820">
        <f t="shared" si="7"/>
        <v>3564</v>
      </c>
      <c r="BE19" s="820">
        <f t="shared" si="7"/>
        <v>0</v>
      </c>
      <c r="BF19" s="830">
        <f t="shared" si="7"/>
        <v>0</v>
      </c>
      <c r="BG19" s="915">
        <f>IF(ISNUMBER(Datos!K19/Datos!J19),Datos!K19/Datos!J19," - ")</f>
        <v>0.95913132694938441</v>
      </c>
      <c r="BH19" s="915">
        <f>IF(ISNUMBER(((Datos!L19/Datos!K19)*11)/factor_trimestre),((Datos!L19/Datos!K19)*11)/factor_trimestre," - ")</f>
        <v>2.7298983776074168</v>
      </c>
      <c r="BI19" s="813">
        <f>IF(ISNUMBER(Datos!J19/Datos!I19),Datos!J19/Datos!I19," - ")</f>
        <v>5.2542677448337827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-9.6218487394957979</v>
      </c>
      <c r="BM19" s="889">
        <f>IF(ISNUMBER((Datos!P19-Datos!Q19+R19)/(Datos!R19-Datos!P19+Datos!Q19-R19)),(Datos!P19-Datos!Q19+R19)/(Datos!R19-Datos!P19+Datos!Q19-R19)," - ")</f>
        <v>-0.14938828074694141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199.18584287042088</v>
      </c>
      <c r="G21" s="552">
        <f>IF(ISNUMBER(STDEV(G8:G18)),STDEV(G8:G18),"-")</f>
        <v>170.35492361537428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1815.833004436256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323.40129869869105</v>
      </c>
      <c r="BD21" s="551"/>
      <c r="BE21" s="551">
        <f>IF(ISNUMBER(STDEV(BE8:BE18)),STDEV(BE8:BE18),"-")</f>
        <v>0</v>
      </c>
      <c r="BF21" s="556">
        <f>IF(ISNUMBER(STDEV(BF8:BF18)),STDEV(BF8:BF18),"-")</f>
        <v>0</v>
      </c>
      <c r="BG21" s="775">
        <f>IF(ISNUMBER(STDEV(BG8:BG18)),STDEV(BG8:BG18),"-")</f>
        <v>0.16167188660462234</v>
      </c>
      <c r="BH21" s="776">
        <f>IF(ISNUMBER(STDEV(BH8:BH18)),STDEV(BH8:BH18),"-")</f>
        <v>5.0327662659831844</v>
      </c>
      <c r="BI21" s="249">
        <f>IF(ISNUMBER(STDEV(BI8:BI18)),STDEV(BI8:BI18),"-")</f>
        <v>0.12637225914917877</v>
      </c>
      <c r="BJ21" s="230" t="str">
        <f>IF(ISNUMBER(BL21/BM21),BL21/BM21," - ")</f>
        <v xml:space="preserve"> - </v>
      </c>
      <c r="BK21" s="575"/>
      <c r="BL21" s="559">
        <f>IF(ISNUMBER(STDEV(BL8:BL18)),STDEV(BL8:BL18),"-")</f>
        <v>6.4405139015766171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HEiJlk3o9A0fV226DyxMW8Y2TmMBqa1vFKS6wd/hRf4ZY1/R3IzIqhKdeObQniq+5fg6QvyOUs7fEypft1tEQ==" saltValue="lualWXWEaiSKQ+QulOWM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TERUEL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725</v>
      </c>
      <c r="AA12" s="332" t="str">
        <f>IF(ISNUMBER(IF(J_V="SI",Datos!L12,Datos!L12+Datos!AB12)-IF(Monitorios="SI",Datos!CD12,0)),
                          IF(J_V="SI",Datos!L12,Datos!L12+Datos!AB12)-IF(Monitorios="SI",Datos!CD12,0),
                          " - ")</f>
        <v xml:space="preserve"> - </v>
      </c>
      <c r="AB12" s="334"/>
      <c r="AC12" s="334"/>
      <c r="AD12" s="484"/>
      <c r="AE12" s="484">
        <f>IF(ISNUMBER(Datos!R12),Datos!R12," - ")</f>
        <v>1218</v>
      </c>
      <c r="AF12" s="229" t="str">
        <f>IF(ISNUMBER(Datos!BV12),Datos!BV12," - ")</f>
        <v xml:space="preserve"> - </v>
      </c>
      <c r="AG12" s="225" t="str">
        <f>IF(ISNUMBER(Datos!DV12),Datos!DV12," - ")</f>
        <v xml:space="preserve"> - </v>
      </c>
      <c r="AH12" s="298"/>
      <c r="AI12" s="227"/>
      <c r="AJ12" s="225">
        <f>IF(ISNUMBER(Datos!M12),Datos!M12," - ")</f>
        <v>739</v>
      </c>
      <c r="AK12" s="229">
        <f>IF(ISNUMBER(Datos!N12),Datos!N12," - ")</f>
        <v>958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5.0416666666666661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-0.17591339648173207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465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725</v>
      </c>
      <c r="AA13" s="900">
        <f t="shared" si="2"/>
        <v>5</v>
      </c>
      <c r="AB13" s="900">
        <f t="shared" si="2"/>
        <v>0</v>
      </c>
      <c r="AC13" s="900">
        <f t="shared" si="2"/>
        <v>0</v>
      </c>
      <c r="AD13" s="900">
        <f t="shared" si="2"/>
        <v>0</v>
      </c>
      <c r="AE13" s="900">
        <f t="shared" si="2"/>
        <v>1221</v>
      </c>
      <c r="AF13" s="908">
        <f t="shared" si="2"/>
        <v>0</v>
      </c>
      <c r="AG13" s="908">
        <f t="shared" si="2"/>
        <v>0</v>
      </c>
      <c r="AH13" s="908">
        <f t="shared" si="2"/>
        <v>0</v>
      </c>
      <c r="AI13" s="908">
        <f t="shared" si="2"/>
        <v>0</v>
      </c>
      <c r="AJ13" s="908">
        <f t="shared" si="2"/>
        <v>743</v>
      </c>
      <c r="AK13" s="908">
        <f t="shared" si="2"/>
        <v>958</v>
      </c>
      <c r="AL13" s="908">
        <f t="shared" si="2"/>
        <v>0</v>
      </c>
      <c r="AM13" s="908">
        <f t="shared" si="2"/>
        <v>0</v>
      </c>
      <c r="AN13" s="908">
        <f t="shared" si="2"/>
        <v>0</v>
      </c>
      <c r="AO13" s="904">
        <f>IF(ISNUMBER(((NºAsuntos!I13/NºAsuntos!G13)*11)/factor_trimestre),((NºAsuntos!I13/NºAsuntos!G13)*11)/factor_trimestre," - ")</f>
        <v>5.0563025210084032</v>
      </c>
      <c r="AP13" s="910" t="str">
        <f>IF(ISNUMBER(Datos!CI13/Datos!CJ13),Datos!CI13/Datos!CJ13," - ")</f>
        <v xml:space="preserve"> - </v>
      </c>
      <c r="AQ13" s="928">
        <f t="shared" ref="AQ13:AV13" si="3">SUBTOTAL(9,AQ9:AQ12)</f>
        <v>0</v>
      </c>
      <c r="AR13" s="928">
        <f t="shared" si="3"/>
        <v>-0.17591339648173207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351</v>
      </c>
      <c r="G16" s="225">
        <f>IF(ISNUMBER(IF(D_I="SI",Datos!I16,Datos!I16+Datos!AC16)),IF(D_I="SI",Datos!I16,Datos!I16+Datos!AC16)," - ")</f>
        <v>314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3292</v>
      </c>
      <c r="Z16" s="619">
        <f>IF(ISNUMBER(Datos!Q16),Datos!Q16," - ")</f>
        <v>30</v>
      </c>
      <c r="AA16" s="332">
        <f>IF(ISNUMBER(IF(D_I="SI",Datos!L16,Datos!L16+Datos!AF16)),IF(D_I="SI",Datos!L16,Datos!L16+Datos!AF16)," - ")</f>
        <v>318</v>
      </c>
      <c r="AB16" s="334"/>
      <c r="AC16" s="334"/>
      <c r="AD16" s="484"/>
      <c r="AE16" s="484">
        <f>IF(ISNUMBER(Datos!R16),Datos!R16," - ")</f>
        <v>95</v>
      </c>
      <c r="AF16" s="229" t="str">
        <f>IF(ISNUMBER(Datos!BV16),Datos!BV16," - ")</f>
        <v xml:space="preserve"> - </v>
      </c>
      <c r="AG16" s="225"/>
      <c r="AH16" s="298"/>
      <c r="AI16" s="227"/>
      <c r="AJ16" s="225">
        <f>IF(ISNUMBER(Datos!M16),Datos!M16," - ")</f>
        <v>299</v>
      </c>
      <c r="AK16" s="229">
        <f>IF(ISNUMBER(Datos!N16),Datos!N16," - ")</f>
        <v>2504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1.0625759416767921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139</v>
      </c>
      <c r="Z17" s="619">
        <f>IF(ISNUMBER(Datos!Q17),Datos!Q17," - ")</f>
        <v>0</v>
      </c>
      <c r="AA17" s="332">
        <f>IF(ISNUMBER(Datos!L17),Datos!L17,"-")</f>
        <v>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41</v>
      </c>
      <c r="AK17" s="229">
        <f>IF(ISNUMBER(Datos!N17),Datos!N17," - ")</f>
        <v>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0.47482014388489213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351</v>
      </c>
      <c r="G18" s="898">
        <f>SUBTOTAL(9,G15:G17)</f>
        <v>320</v>
      </c>
      <c r="H18" s="932">
        <f>SUBTOTAL(9,H15:H17)</f>
        <v>0</v>
      </c>
      <c r="I18" s="911">
        <f>SUBTOTAL(9,I15:I17)</f>
        <v>0</v>
      </c>
      <c r="J18" s="867">
        <f>SUBTOTAL(9,J14:J17)</f>
        <v>0</v>
      </c>
      <c r="K18" s="932">
        <f t="shared" ref="K18:S18" si="4">SUBTOTAL(9,K15:K17)</f>
        <v>0</v>
      </c>
      <c r="L18" s="932">
        <f t="shared" si="4"/>
        <v>0</v>
      </c>
      <c r="M18" s="932">
        <f t="shared" si="4"/>
        <v>0</v>
      </c>
      <c r="N18" s="932">
        <f t="shared" si="4"/>
        <v>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3431</v>
      </c>
      <c r="Z18" s="932">
        <f t="shared" si="5"/>
        <v>30</v>
      </c>
      <c r="AA18" s="932">
        <f t="shared" si="5"/>
        <v>324</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340</v>
      </c>
      <c r="AK18" s="932">
        <f t="shared" si="5"/>
        <v>2606</v>
      </c>
      <c r="AL18" s="932">
        <f t="shared" si="5"/>
        <v>0</v>
      </c>
      <c r="AM18" s="932">
        <f t="shared" si="5"/>
        <v>0</v>
      </c>
      <c r="AN18" s="932">
        <f t="shared" si="5"/>
        <v>0</v>
      </c>
      <c r="AO18" s="934">
        <f>IF(ISNUMBER(((NºAsuntos!I18/NºAsuntos!G18)*11)/factor_trimestre),((NºAsuntos!I18/NºAsuntos!G18)*11)/factor_trimestre," - ")</f>
        <v>1.0387642086855144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357</v>
      </c>
      <c r="G19" s="820">
        <f t="shared" si="7"/>
        <v>326</v>
      </c>
      <c r="H19" s="821">
        <f t="shared" si="7"/>
        <v>0</v>
      </c>
      <c r="I19" s="820">
        <f t="shared" si="7"/>
        <v>0</v>
      </c>
      <c r="J19" s="822">
        <f t="shared" si="7"/>
        <v>0</v>
      </c>
      <c r="K19" s="820">
        <f t="shared" si="7"/>
        <v>0</v>
      </c>
      <c r="L19" s="823">
        <f t="shared" si="7"/>
        <v>0</v>
      </c>
      <c r="M19" s="820">
        <f t="shared" si="7"/>
        <v>0</v>
      </c>
      <c r="N19" s="821">
        <f t="shared" si="7"/>
        <v>523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3435</v>
      </c>
      <c r="Z19" s="827">
        <f t="shared" si="8"/>
        <v>755</v>
      </c>
      <c r="AA19" s="828">
        <f t="shared" si="8"/>
        <v>329</v>
      </c>
      <c r="AB19" s="828">
        <f t="shared" si="8"/>
        <v>0</v>
      </c>
      <c r="AC19" s="828">
        <f t="shared" si="8"/>
        <v>0</v>
      </c>
      <c r="AD19" s="829">
        <f t="shared" si="8"/>
        <v>0</v>
      </c>
      <c r="AE19" s="829">
        <f t="shared" si="8"/>
        <v>1321</v>
      </c>
      <c r="AF19" s="830">
        <f t="shared" si="8"/>
        <v>0</v>
      </c>
      <c r="AG19" s="831">
        <f t="shared" si="8"/>
        <v>0</v>
      </c>
      <c r="AH19" s="832">
        <f t="shared" si="8"/>
        <v>0</v>
      </c>
      <c r="AI19" s="830">
        <f t="shared" si="8"/>
        <v>0</v>
      </c>
      <c r="AJ19" s="820">
        <f t="shared" si="8"/>
        <v>1083</v>
      </c>
      <c r="AK19" s="820">
        <f t="shared" si="8"/>
        <v>3564</v>
      </c>
      <c r="AL19" s="820">
        <f t="shared" si="8"/>
        <v>0</v>
      </c>
      <c r="AM19" s="833">
        <f t="shared" si="8"/>
        <v>0</v>
      </c>
      <c r="AN19" s="823">
        <f>IF(ISNUMBER(Datos!K19/Datos!J19),Datos!K19/Datos!J19," - ")</f>
        <v>0.95913132694938441</v>
      </c>
      <c r="AO19" s="823">
        <f>IF(ISNUMBER(FIND("06",Criterios!A8,1)),(IF(ISNUMBER(((Datos!R19/Datos!Q19)*11)/factor_trimestre),((Datos!R19/Datos!Q19)*11)/factor_trimestre," - ")),(IF(ISNUMBER(((Datos!L19/Datos!K19)*11)/factor_trimestre),((Datos!L19/Datos!K19)*11)/factor_trimestre," - ")))</f>
        <v>2.7298983776074168</v>
      </c>
      <c r="AP19" s="834" t="str">
        <f>IF(ISNUMBER(Datos!CI19/Datos!CJ19),Datos!CI19/Datos!CJ19," - ")</f>
        <v xml:space="preserve"> - </v>
      </c>
      <c r="AQ19" s="834">
        <f>IF(OR(ISNUMBER(FIND("01",Criterios!A8,1)),ISNUMBER(FIND("02",Criterios!A8,1)),ISNUMBER(FIND("03",Criterios!A8,1)),ISNUMBER(FIND("04",Criterios!A8,1))),(J19-Y19+K19)/(F19-K19),(I19-Y19+K19)/(F19-K19))</f>
        <v>-9.6218487394957979</v>
      </c>
      <c r="AR19" s="834">
        <f>IF(ISNUMBER((Datos!P19-Datos!Q19+O19)/(Datos!R19-Datos!P19+Datos!Q19-O19)),(Datos!P19-Datos!Q19+O19)/(Datos!R19-Datos!P19+Datos!Q19-O19)," - ")</f>
        <v>-0.14938828074694141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199.18584287042088</v>
      </c>
      <c r="G21" s="552">
        <f>IF(ISNUMBER(STDEV(G8:G18)),STDEV(G8:G18),"-")</f>
        <v>170.35492361537428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323.40129869869105</v>
      </c>
      <c r="AK21" s="252"/>
      <c r="AL21" s="252">
        <f>IF(ISNUMBER(STDEV(AL8:AL18)),STDEV(AL8:AL18),"-")</f>
        <v>0</v>
      </c>
      <c r="AM21" s="254">
        <f>IF(ISNUMBER(STDEV(AM8:AM18)),STDEV(AM8:AM18),"-")</f>
        <v>0</v>
      </c>
      <c r="AN21" s="539">
        <f>IF(ISNUMBER(STDEV(AN8:AN18)),STDEV(AN8:AN18),"-")</f>
        <v>0</v>
      </c>
      <c r="AO21" s="540">
        <f>IF(ISNUMBER(STDEV(AO8:AO18)),STDEV(AO8:AO18),"-")</f>
        <v>5.0221153782899757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cLOzwawfpUb1bloBIrXNHN8A71FO9KVld+m9sN4kcPT7G7AT4NLkv4tyglPSiDhqOmypraMdxB8PgygUM49/g==" saltValue="5tMMKtVVyim7Zfw33Edw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4hN9ntbTN0ScmXr/mUWUXz77ZwouHL0DDvXk5yDPddSXWUb7w8spHCXaCUTF/rXJx8dSyex63wkSVWAzDKmg==" saltValue="gfrxayH5Rf69wZwB8rGp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S3PXDxfruyrN7EojIroecJHnzHe6eq+Dsx5Qbs6CbTy8Tu8dNe6Mv95HHe1j+mSN1UB9RkfatcHvTm5STknhw==" saltValue="l132Ptv4bLIiFevc3HP3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0.31218487394957983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0.22074804135361548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sXH9BeH994RIYrlNgqDEkxbicQFrAVkzhwQIQTHy1yxIOYo4QYrs9MZf7V3kgx8wHMgW5dx0opIL7rCtWkySw==" saltValue="jPd2bW7S5uoIpi8QrWX31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bzgaobiEDTaUypq8Yy3klnfAV1PlYbuvn0w8J1SS4Ld3iQ8+Nk6YBaKkelnWrLyg1A+8pP9wR/AfU1exES+sw==" saltValue="lJWoiU0gmPWaHUCa+QkG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TERUEL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817</v>
      </c>
      <c r="D12" s="404">
        <f>IF(ISNUMBER(C12/Datos!BH12),C12/Datos!BH12," - ")</f>
        <v>272.33333333333331</v>
      </c>
      <c r="E12" s="403">
        <f>IF(ISNUMBER(IF(J_V="SI",Datos!J12,Datos!J12+Datos!Z12)),IF(J_V="SI",Datos!J12,Datos!J12+Datos!Z12)," - ")</f>
        <v>2645</v>
      </c>
      <c r="F12" s="404">
        <f>IF(ISNUMBER(E12/B12),E12/B12," - ")</f>
        <v>881.66666666666663</v>
      </c>
      <c r="G12" s="403">
        <f>IF(ISNUMBER(IF(J_V="SI",Datos!K12,Datos!K12+Datos!AA12)),IF(J_V="SI",Datos!K12,Datos!K12+Datos!AA12)," - ")</f>
        <v>2376</v>
      </c>
      <c r="H12" s="404">
        <f>IF(ISNUMBER(G12/B12),G12/B12," - ")</f>
        <v>792</v>
      </c>
      <c r="I12" s="403">
        <f>IF(ISNUMBER(IF(J_V="SI",Datos!L12,Datos!L12+Datos!AB12)),IF(J_V="SI",Datos!L12,Datos!L12+Datos!AB12)," - ")</f>
        <v>1089</v>
      </c>
      <c r="J12" s="404">
        <f>IF(ISNUMBER(I12/B12),I12/B12," - ")</f>
        <v>363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823</v>
      </c>
      <c r="D13" s="850" t="str">
        <f>IF(ISNUMBER(C13/Datos!BI13),C13/Datos!BI13," - ")</f>
        <v xml:space="preserve"> - </v>
      </c>
      <c r="E13" s="849">
        <f>SUBTOTAL(9,E8:E12)</f>
        <v>2648</v>
      </c>
      <c r="F13" s="850">
        <f>IF(ISNUMBER(E13/B13),E13/B13," - ")</f>
        <v>882.66666666666663</v>
      </c>
      <c r="G13" s="849">
        <f>SUBTOTAL(9,G8:G12)</f>
        <v>2380</v>
      </c>
      <c r="H13" s="850">
        <f>IF(ISNUMBER(G13/B13),G13/B13," - ")</f>
        <v>793.33333333333337</v>
      </c>
      <c r="I13" s="849">
        <f>SUBTOTAL(9,I8:I12)</f>
        <v>1094</v>
      </c>
      <c r="J13" s="850">
        <f>IF(ISNUMBER(I13/B13),I13/B13," - ")</f>
        <v>364.66666666666669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314</v>
      </c>
      <c r="D16" s="404">
        <f>IF(ISNUMBER(C16/Datos!BH16),C16/Datos!BH16," - ")</f>
        <v>104.66666666666667</v>
      </c>
      <c r="E16" s="403">
        <f>IF(ISNUMBER(IF(D_I="SI",Datos!J16,Datos!J16+Datos!AD16)),IF(D_I="SI",Datos!J16,Datos!J16+Datos!AD16)," - ")</f>
        <v>3259</v>
      </c>
      <c r="F16" s="404">
        <f>IF(ISNUMBER(E16/B16),E16/B16," - ")</f>
        <v>1086.3333333333333</v>
      </c>
      <c r="G16" s="403">
        <f>IF(ISNUMBER(IF(D_I="SI",Datos!K16,Datos!K16+Datos!AE16)),IF(D_I="SI",Datos!K16,Datos!K16+Datos!AE16)," - ")</f>
        <v>3292</v>
      </c>
      <c r="H16" s="404">
        <f>IF(ISNUMBER(G16/B16),G16/B16," - ")</f>
        <v>1097.3333333333333</v>
      </c>
      <c r="I16" s="403">
        <f>IF(ISNUMBER(IF(D_I="SI",Datos!L16,Datos!L16+Datos!AF16)),IF(D_I="SI",Datos!L16,Datos!L16+Datos!AF16)," - ")</f>
        <v>318</v>
      </c>
      <c r="J16" s="404">
        <f>IF(ISNUMBER(I16/B16),I16/B16," - ")</f>
        <v>106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139</v>
      </c>
      <c r="F17" s="404">
        <f>IF(ISNUMBER(E17/B17),E17/B17," - ")</f>
        <v>139</v>
      </c>
      <c r="G17" s="403">
        <f>IF(ISNUMBER(IF(D_I="SI",Datos!K17,Datos!K17+Datos!AE17)),IF(D_I="SI",Datos!K17,Datos!K17+Datos!AE17)," - ")</f>
        <v>139</v>
      </c>
      <c r="H17" s="404">
        <f>IF(ISNUMBER(G17/B17),G17/B17," - ")</f>
        <v>139</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320</v>
      </c>
      <c r="D18" s="850" t="str">
        <f>IF(ISNUMBER(C18/Datos!BI18),C18/Datos!BI18," - ")</f>
        <v xml:space="preserve"> - </v>
      </c>
      <c r="E18" s="849">
        <f>SUBTOTAL(9,E14:E17)</f>
        <v>3398</v>
      </c>
      <c r="F18" s="850">
        <f>IF(ISNUMBER(E18/B18),E18/B18," - ")</f>
        <v>1132.6666666666667</v>
      </c>
      <c r="G18" s="849">
        <f>SUBTOTAL(9,G14:G17)</f>
        <v>3431</v>
      </c>
      <c r="H18" s="850">
        <f>IF(ISNUMBER(G18/B18),G18/B18," - ")</f>
        <v>1143.6666666666667</v>
      </c>
      <c r="I18" s="849">
        <f>SUBTOTAL(9,I14:I17)</f>
        <v>324</v>
      </c>
      <c r="J18" s="850">
        <f>IF(ISNUMBER(I18/B18),I18/B18," - ")</f>
        <v>108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1143</v>
      </c>
      <c r="D19" s="795" t="str">
        <f>IF(ISNUMBER(C19/Datos!BI19),C19/Datos!BI19," - ")</f>
        <v xml:space="preserve"> - </v>
      </c>
      <c r="E19" s="794">
        <f>SUBTOTAL(9,E9:E18)</f>
        <v>6046</v>
      </c>
      <c r="F19" s="795">
        <f>IF(ISNUMBER(E19/B19),E19/B19," - ")</f>
        <v>2015.3333333333333</v>
      </c>
      <c r="G19" s="794">
        <f>SUBTOTAL(9,G9:G18)</f>
        <v>5811</v>
      </c>
      <c r="H19" s="795">
        <f>IF(ISNUMBER(G19/B19),G19/B19," - ")</f>
        <v>1937</v>
      </c>
      <c r="I19" s="794">
        <f>SUBTOTAL(9,I9:I18)</f>
        <v>1418</v>
      </c>
      <c r="J19" s="795">
        <f>IF(ISNUMBER(I19/B19),I19/B19," - ")</f>
        <v>472.66666666666669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3sS93QIUlp8Uj2qzlnWySrAhxEOeeQkYJgyLBIXvVAadwsGjZgQ5PbYL/PkvStrKbd3EaQqHZoXJiHeGeGdBQ==" saltValue="Ui//gn6mVrbNw78hMpq4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TERUEL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739</v>
      </c>
      <c r="AM12" s="690">
        <f>IF(ISNUMBER(Datos!N12+DatosP!N16),Datos!N12+DatosP!N16," - ")</f>
        <v>958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5.0416666666666661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-0.17591339648173207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465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725</v>
      </c>
      <c r="AE13" s="939">
        <f t="shared" si="1"/>
        <v>0</v>
      </c>
      <c r="AF13" s="939">
        <f t="shared" si="1"/>
        <v>5</v>
      </c>
      <c r="AG13" s="939">
        <f t="shared" si="1"/>
        <v>0</v>
      </c>
      <c r="AH13" s="939">
        <f t="shared" si="1"/>
        <v>1218</v>
      </c>
      <c r="AI13" s="939">
        <f t="shared" si="1"/>
        <v>0</v>
      </c>
      <c r="AJ13" s="939">
        <f t="shared" si="1"/>
        <v>0</v>
      </c>
      <c r="AK13" s="939">
        <f t="shared" si="1"/>
        <v>0</v>
      </c>
      <c r="AL13" s="939">
        <f t="shared" si="1"/>
        <v>743</v>
      </c>
      <c r="AM13" s="939">
        <f t="shared" si="1"/>
        <v>958</v>
      </c>
      <c r="AN13" s="939">
        <f t="shared" si="1"/>
        <v>0</v>
      </c>
      <c r="AO13" s="939">
        <f t="shared" si="1"/>
        <v>0</v>
      </c>
      <c r="AP13" s="944">
        <f>IF(ISNUMBER(((Datos!L13/Datos!K13)*11)/factor_trimestre),((Datos!L13/Datos!K13)*11)/factor_trimestre," - ")</f>
        <v>5.3939393939393945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-0.17591339648173207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1.0387642086855144</v>
      </c>
      <c r="AQ18" s="944">
        <f>IF(ISNUMBER(((Datos!M18/Datos!L18)*11)/factor_trimestre),((Datos!M18/Datos!L18)*11)/factor_trimestre," - ")</f>
        <v>11.543209876543211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0.3888888888888889</v>
      </c>
      <c r="AW18" s="946">
        <f>IF(ISNUMBER((Datos!Q18-Datos!R18)/(Datos!S18-Datos!Q18+Datos!R18)),(Datos!Q18-Datos!R18)/(Datos!S18-Datos!Q18+Datos!R18)," - ")</f>
        <v>-0.20057306590257878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465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725</v>
      </c>
      <c r="AE19" s="957">
        <f t="shared" si="5"/>
        <v>0</v>
      </c>
      <c r="AF19" s="958">
        <f t="shared" si="5"/>
        <v>5</v>
      </c>
      <c r="AG19" s="958">
        <f t="shared" si="5"/>
        <v>0</v>
      </c>
      <c r="AH19" s="958">
        <f t="shared" si="5"/>
        <v>1218</v>
      </c>
      <c r="AI19" s="958">
        <f t="shared" si="5"/>
        <v>0</v>
      </c>
      <c r="AJ19" s="959">
        <f t="shared" si="5"/>
        <v>0</v>
      </c>
      <c r="AK19" s="959">
        <f t="shared" si="5"/>
        <v>0</v>
      </c>
      <c r="AL19" s="951">
        <f t="shared" si="5"/>
        <v>743</v>
      </c>
      <c r="AM19" s="951">
        <f t="shared" si="5"/>
        <v>958</v>
      </c>
      <c r="AN19" s="951">
        <f t="shared" si="5"/>
        <v>0</v>
      </c>
      <c r="AO19" s="951">
        <f t="shared" si="5"/>
        <v>0</v>
      </c>
      <c r="AP19" s="951">
        <f>IF(ISNUMBER(((Datos!L19/Datos!K19)*11)/factor_trimestre),((Datos!L19/Datos!K19)*11)/factor_trimestre," - ")</f>
        <v>2.7298983776074168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-0.14938828074694141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426.66809895592928</v>
      </c>
      <c r="AM21" s="736"/>
      <c r="AN21" s="736">
        <f>IF(ISNUMBER(STDEV(AN8:AN18)),STDEV(AN8:AN18),"-")</f>
        <v>0</v>
      </c>
      <c r="AO21" s="742">
        <f>IF(ISNUMBER(STDEV(AO8:AO18)),STDEV(AO8:AO18),"-")</f>
        <v>0</v>
      </c>
      <c r="AP21" s="779">
        <f>IF(ISNUMBER(STDEV(AP8:AP18)),STDEV(AP8:AP18),"-")</f>
        <v>5.3412639632061785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v0Z7PjgR/aWeZG2IVMjsdBdCH31PocxDRYl8JSa8jX4u1trrmVZw5oT5W9kpNC5l1a51DrJ1PthMcGODpvRFg==" saltValue="0ysUhzr/Sve7MDC423ph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TERUEL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QWCfTws1tjybowbaVTEReRhqLn/vNyt7dd12c4NUGMAn0zUPW5DS/6A0+kgSEoVdqQg/Izo78blLmt4JTS+CA==" saltValue="E6tsNUdevU0YwA2j766D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TERUEL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739</v>
      </c>
      <c r="E12" s="404">
        <f t="shared" si="0"/>
        <v>246.33333333333334</v>
      </c>
      <c r="F12" s="403">
        <f>IF(ISNUMBER(Datos!N12),Datos!N12," - ")</f>
        <v>958</v>
      </c>
      <c r="G12" s="404">
        <f t="shared" si="1"/>
        <v>319.33333333333331</v>
      </c>
      <c r="H12" s="403">
        <f>IF(ISNUMBER(Datos!O12),Datos!O12," - ")</f>
        <v>839</v>
      </c>
      <c r="I12" s="404">
        <f t="shared" si="2"/>
        <v>279.66666666666669</v>
      </c>
      <c r="BZ12" s="1186">
        <f>Datos!EZ12</f>
        <v>0</v>
      </c>
    </row>
    <row r="13" spans="1:78" ht="14.25" thickTop="1" thickBot="1">
      <c r="A13" s="848" t="str">
        <f>Datos!A13</f>
        <v>TOTAL</v>
      </c>
      <c r="B13" s="849">
        <f>Datos!AP13</f>
        <v>3</v>
      </c>
      <c r="C13" s="851">
        <f>Datos!AR13</f>
        <v>3</v>
      </c>
      <c r="D13" s="849">
        <f>SUBTOTAL(9,D9:D12)</f>
        <v>743</v>
      </c>
      <c r="E13" s="850">
        <f t="shared" si="0"/>
        <v>247.66666666666666</v>
      </c>
      <c r="F13" s="849">
        <f>SUBTOTAL(9,F9:F12)</f>
        <v>958</v>
      </c>
      <c r="G13" s="850">
        <f t="shared" si="1"/>
        <v>319.33333333333331</v>
      </c>
      <c r="H13" s="849">
        <f>SUBTOTAL(9,H9:H12)</f>
        <v>839</v>
      </c>
      <c r="I13" s="850">
        <f>IF(ISNUMBER(H13/B13),H13/B13," - ")</f>
        <v>279.66666666666669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299</v>
      </c>
      <c r="E16" s="404">
        <f t="shared" si="3"/>
        <v>99.666666666666671</v>
      </c>
      <c r="F16" s="403">
        <f>IF(ISNUMBER(Datos!N16),Datos!N16," - ")</f>
        <v>2504</v>
      </c>
      <c r="G16" s="404">
        <f t="shared" si="4"/>
        <v>834.66666666666663</v>
      </c>
      <c r="H16" s="403">
        <f>IF(ISNUMBER(Datos!O16),Datos!O16," - ")</f>
        <v>21</v>
      </c>
      <c r="I16" s="404">
        <f t="shared" si="5"/>
        <v>7</v>
      </c>
      <c r="BZ16" s="1186">
        <f>Datos!EZ16</f>
        <v>0</v>
      </c>
    </row>
    <row r="17" spans="1:78" ht="13.5" thickBot="1">
      <c r="A17" s="402" t="str">
        <f>Datos!A17</f>
        <v>Jdos. Violencia contra la mujer</v>
      </c>
      <c r="B17" s="427">
        <f>Datos!AO17</f>
        <v>1</v>
      </c>
      <c r="C17" s="428">
        <f>Datos!AQ17</f>
        <v>0</v>
      </c>
      <c r="D17" s="403">
        <f>IF(ISNUMBER(Datos!M17),Datos!M17," - ")</f>
        <v>41</v>
      </c>
      <c r="E17" s="404">
        <f>IF(ISNUMBER(D17/B17),D17/B17," - ")</f>
        <v>41</v>
      </c>
      <c r="F17" s="403">
        <f>IF(ISNUMBER(Datos!N17),Datos!N17," - ")</f>
        <v>102</v>
      </c>
      <c r="G17" s="404">
        <f>IF(ISNUMBER(F17/B17),F17/B17," - ")</f>
        <v>102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340</v>
      </c>
      <c r="E18" s="850">
        <f t="shared" si="3"/>
        <v>113.33333333333333</v>
      </c>
      <c r="F18" s="849">
        <f>SUBTOTAL(9,F15:F17)</f>
        <v>2606</v>
      </c>
      <c r="G18" s="850">
        <f t="shared" si="4"/>
        <v>868.66666666666663</v>
      </c>
      <c r="H18" s="849">
        <f>SUBTOTAL(9,H15:H17)</f>
        <v>21</v>
      </c>
      <c r="I18" s="850">
        <f>IF(ISNUMBER(H18/B18),H18/B18," - ")</f>
        <v>7</v>
      </c>
      <c r="BZ18" s="1186"/>
    </row>
    <row r="19" spans="1:78" ht="14.25" thickTop="1" thickBot="1">
      <c r="A19" s="793" t="str">
        <f>Datos!A19</f>
        <v>TOTAL JURISDICCIONES</v>
      </c>
      <c r="B19" s="794">
        <f>Datos!AP19</f>
        <v>3</v>
      </c>
      <c r="C19" s="794">
        <f>Datos!AR19</f>
        <v>3</v>
      </c>
      <c r="D19" s="794">
        <f>SUBTOTAL(9,D8:D18)</f>
        <v>1083</v>
      </c>
      <c r="E19" s="795">
        <f>IF(ISNUMBER(D19/B19),D19/B19," - ")</f>
        <v>361</v>
      </c>
      <c r="F19" s="794">
        <f>SUBTOTAL(9,F8:F18)</f>
        <v>3564</v>
      </c>
      <c r="G19" s="795">
        <f>IF(ISNUMBER(F19/B19),F19/B19," - ")</f>
        <v>1188</v>
      </c>
      <c r="H19" s="794">
        <f>SUBTOTAL(9,H8:H18)</f>
        <v>860</v>
      </c>
      <c r="I19" s="795">
        <f>IF(ISNUMBER(H19/B19),H19/B19," - ")</f>
        <v>286.66666666666669</v>
      </c>
    </row>
    <row r="22" spans="1:78">
      <c r="A22" s="391" t="str">
        <f>Criterios!A4</f>
        <v>Fecha Informe: 28 feb. 2025</v>
      </c>
    </row>
    <row r="27" spans="1:78">
      <c r="A27" s="414"/>
    </row>
  </sheetData>
  <sheetProtection algorithmName="SHA-512" hashValue="GKTVZtg0Jf1Z6817xskvXg/tZZH1VS75n7sBwARP0DacvmTuvzKNTSGQwXY2GNIrpIVjBx1cRlPBOQvT+JAVvA==" saltValue="0n+PXekkW88kRISbtq//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TERUEL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465</v>
      </c>
      <c r="C12" s="434">
        <f>IF(ISNUMBER(Datos!Q12),Datos!Q12," - ")</f>
        <v>725</v>
      </c>
      <c r="D12" s="408">
        <f>IF(ISNUMBER(Datos!R12),Datos!R12," - ")</f>
        <v>1218</v>
      </c>
    </row>
    <row r="13" spans="1:4" ht="14.25" thickTop="1" thickBot="1">
      <c r="A13" s="848" t="str">
        <f>Datos!A13</f>
        <v>TOTAL</v>
      </c>
      <c r="B13" s="849">
        <f>SUBTOTAL(9,B9:B12)</f>
        <v>465</v>
      </c>
      <c r="C13" s="853">
        <f>SUBTOTAL(9,C9:C12)</f>
        <v>725</v>
      </c>
      <c r="D13" s="851">
        <f>SUBTOTAL(9,D9:D12)</f>
        <v>1221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58</v>
      </c>
      <c r="C16" s="434">
        <f>IF(ISNUMBER(Datos!Q16),Datos!Q16," - ")</f>
        <v>30</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58</v>
      </c>
      <c r="C18" s="853">
        <f>SUBTOTAL(9,C15:C17)</f>
        <v>30</v>
      </c>
      <c r="D18" s="851">
        <f>SUBTOTAL(9,D15:D17)</f>
        <v>100</v>
      </c>
    </row>
    <row r="19" spans="1:4" ht="16.5" customHeight="1" thickTop="1" thickBot="1">
      <c r="A19" s="793" t="str">
        <f>Datos!A19</f>
        <v>TOTAL JURISDICCIONES</v>
      </c>
      <c r="B19" s="798">
        <f>SUBTOTAL(9,B8:B18)</f>
        <v>523</v>
      </c>
      <c r="C19" s="799">
        <f>SUBTOTAL(9,C8:C18)</f>
        <v>755</v>
      </c>
      <c r="D19" s="800">
        <f>SUBTOTAL(9,D8:D18)</f>
        <v>1321</v>
      </c>
    </row>
    <row r="20" spans="1:4" ht="7.5" customHeight="1"/>
    <row r="21" spans="1:4" ht="6" customHeight="1"/>
    <row r="22" spans="1:4">
      <c r="A22" s="391" t="str">
        <f>Criterios!A4</f>
        <v>Fecha Informe: 28 feb. 2025</v>
      </c>
    </row>
    <row r="27" spans="1:4">
      <c r="A27" s="414"/>
    </row>
  </sheetData>
  <sheetProtection algorithmName="SHA-512" hashValue="EzQhEQwfULg0ySJ8oIyxxe9QMG1+JgOYI50NKPPqArRu2kmCXfAQvBqRvihnT7TTqZX0zyj0sJRU2UQf25T+Pw==" saltValue="0ivCM7iFoWShdUlW+2Dy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TERUEL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-0.7</v>
      </c>
      <c r="D10" s="456">
        <f>IF(ISNUMBER((Datos!K10-Datos!U10)/Datos!U10),(Datos!K10-Datos!U10)/Datos!U10," - ")</f>
        <v>-0.55555555555555558</v>
      </c>
      <c r="E10" s="456">
        <f>IF(ISNUMBER((Datos!L10-Datos!V10)/Datos!V10),(Datos!L10-Datos!V10)/Datos!V10," - ")</f>
        <v>-0.16666666666666666</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0.48148148148148134</v>
      </c>
      <c r="I10" s="456">
        <f>IF(ISNUMBER(((NºAsuntos!I10/NºAsuntos!G10)-Datos!BE10)/Datos!BE10),((NºAsuntos!I10/NºAsuntos!G10)-Datos!BE10)/Datos!BE10," - ")</f>
        <v>0.87500000000000011</v>
      </c>
      <c r="J10" s="461">
        <f>IF(ISNUMBER((('Resol  Asuntos'!D10/NºAsuntos!G10)-Datos!BF10)/Datos!BF10),(('Resol  Asuntos'!D10/NºAsuntos!G10)-Datos!BF10)/Datos!BF10," - ")</f>
        <v>8</v>
      </c>
      <c r="K10" s="462">
        <f>IF(ISNUMBER((((NºAsuntos!C10+NºAsuntos!E10)/NºAsuntos!G10)-Datos!BG10)/Datos!BG10),(((NºAsuntos!C10+NºAsuntos!E10)/NºAsuntos!G10)-Datos!BG10)/Datos!BG10," - ")</f>
        <v>0.34999999999999992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8.7882822902796268E-2</v>
      </c>
      <c r="C12" s="456">
        <f>IF(ISNUMBER(
   IF(J_V="SI",(Datos!J12-Datos!T12)/Datos!T12,(Datos!J12+Datos!Z12-(Datos!T12+Datos!AH12))/(Datos!T12+Datos!AH12))
     ),IF(J_V="SI",(Datos!J12-Datos!T12)/Datos!T12,(Datos!J12+Datos!Z12-(Datos!T12+Datos!AH12))/(Datos!T12+Datos!AH12))," - ")</f>
        <v>0.15856329391151994</v>
      </c>
      <c r="D12" s="456">
        <f>IF(ISNUMBER(
   IF(J_V="SI",(Datos!K12-Datos!U12)/Datos!U12,(Datos!K12+Datos!AA12-(Datos!U12+Datos!AI12))/(Datos!U12+Datos!AI12))
     ),IF(J_V="SI",(Datos!K12-Datos!U12)/Datos!U12,(Datos!K12+Datos!AA12-(Datos!U12+Datos!AI12))/(Datos!U12+Datos!AI12))," - ")</f>
        <v>6.4516129032258063E-2</v>
      </c>
      <c r="E12" s="456">
        <f>IF(ISNUMBER(
   IF(J_V="SI",(Datos!L12-Datos!V12)/Datos!V12,(Datos!L12+Datos!AB12-(Datos!V12+Datos!AJ12))/(Datos!V12+Datos!AJ12))
     ),IF(J_V="SI",(Datos!L12-Datos!V12)/Datos!V12,(Datos!L12+Datos!AB12-(Datos!V12+Datos!AJ12))/(Datos!V12+Datos!AJ12))," - ")</f>
        <v>0.33292533659730722</v>
      </c>
      <c r="F12" s="456">
        <f>IF(ISNUMBER((Datos!M12-Datos!W12)/Datos!W12),(Datos!M12-Datos!W12)/Datos!W12," - ")</f>
        <v>0.71860465116279071</v>
      </c>
      <c r="G12" s="457">
        <f>IF(ISNUMBER((Datos!N12-Datos!X12)/Datos!X12),(Datos!N12-Datos!X12)/Datos!X12," - ")</f>
        <v>-6.4453125E-2</v>
      </c>
      <c r="H12" s="455">
        <f>IF(ISNUMBER(((NºAsuntos!G12/NºAsuntos!E12)-Datos!BD12)/Datos!BD12),((NºAsuntos!G12/NºAsuntos!E12)-Datos!BD12)/Datos!BD12," - ")</f>
        <v>-8.1175681443990483E-2</v>
      </c>
      <c r="I12" s="456">
        <f>IF(ISNUMBER(((NºAsuntos!I12/NºAsuntos!G12)-Datos!BE12)/Datos!BE12),((NºAsuntos!I12/NºAsuntos!G12)-Datos!BE12)/Datos!BE12," - ")</f>
        <v>0.25214198286413697</v>
      </c>
      <c r="J12" s="461">
        <f>IF(ISNUMBER((('Resol  Asuntos'!D12/NºAsuntos!G12)-Datos!BF12)/Datos!BF12),(('Resol  Asuntos'!D12/NºAsuntos!G12)-Datos!BF12)/Datos!BF12," - ")</f>
        <v>-0.32205847537878785</v>
      </c>
      <c r="K12" s="462">
        <f>IF(ISNUMBER((((NºAsuntos!C12+NºAsuntos!E12)/NºAsuntos!G12)-Datos!BG12)/Datos!BG12),(((NºAsuntos!C12+NºAsuntos!E12)/NºAsuntos!G12)-Datos!BG12)/Datos!BG12," - ")</f>
        <v>7.1912267034218186E-2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8.8624338624338619E-2</v>
      </c>
      <c r="C13" s="855">
        <f>IF(ISNUMBER(
   IF(J_V="SI",(Datos!J13-Datos!T13)/Datos!T13,(Datos!J13+Datos!Z13-(Datos!T13+Datos!AH13))/(Datos!T13+Datos!AH13))
     ),IF(J_V="SI",(Datos!J13-Datos!T13)/Datos!T13,(Datos!J13+Datos!Z13-(Datos!T13+Datos!AH13))/(Datos!T13+Datos!AH13))," - ")</f>
        <v>0.15481901439162668</v>
      </c>
      <c r="D13" s="855">
        <f>IF(ISNUMBER(
   IF(J_V="SI",(Datos!K13-Datos!U13)/Datos!U13,(Datos!K13+Datos!AA13-(Datos!U13+Datos!AI13))/(Datos!U13+Datos!AI13))
     ),IF(J_V="SI",(Datos!K13-Datos!U13)/Datos!U13,(Datos!K13+Datos!AA13-(Datos!U13+Datos!AI13))/(Datos!U13+Datos!AI13))," - ")</f>
        <v>6.2025881302989735E-2</v>
      </c>
      <c r="E13" s="855">
        <f>IF(ISNUMBER(
   IF(J_V="SI",(Datos!L13-Datos!V13)/Datos!V13,(Datos!L13+Datos!AB13-(Datos!V13+Datos!AJ13))/(Datos!V13+Datos!AJ13))
     ),IF(J_V="SI",(Datos!L13-Datos!V13)/Datos!V13,(Datos!L13+Datos!AB13-(Datos!V13+Datos!AJ13))/(Datos!V13+Datos!AJ13))," - ")</f>
        <v>0.32928311057108139</v>
      </c>
      <c r="F13" s="856">
        <f>IF(ISNUMBER((Datos!M13-Datos!W13)/Datos!W13),(Datos!M13-Datos!W13)/Datos!W13," - ")</f>
        <v>0.72389791183294661</v>
      </c>
      <c r="G13" s="857">
        <f>IF(ISNUMBER((Datos!N13-Datos!X13)/Datos!X13),(Datos!N13-Datos!X13)/Datos!X13," - ")</f>
        <v>-6.4453125E-2</v>
      </c>
      <c r="H13" s="857">
        <f>IF(ISNUMBER(((NºAsuntos!G13/NºAsuntos!E13)-Datos!BD13)/Datos!BD13),((NºAsuntos!G13/NºAsuntos!E13)-Datos!BD13)/Datos!BD13," - ")</f>
        <v>-8.0352966077131605E-2</v>
      </c>
      <c r="I13" s="857">
        <f>IF(ISNUMBER(((NºAsuntos!I13/NºAsuntos!G13)-Datos!BE13)/Datos!BE13),((NºAsuntos!I13/NºAsuntos!G13)-Datos!BE13)/Datos!BE13," - ")</f>
        <v>0.25164850873520733</v>
      </c>
      <c r="J13" s="857">
        <f>IF(ISNUMBER((('Resol  Asuntos'!D13/NºAsuntos!G13)-Datos!BF13)/Datos!BF13),(('Resol  Asuntos'!D13/NºAsuntos!G13)-Datos!BF13)/Datos!BF13," - ")</f>
        <v>-0.31745726583316253</v>
      </c>
      <c r="K13" s="857">
        <f>IF(ISNUMBER((((NºAsuntos!C13+NºAsuntos!E13)/NºAsuntos!G13)-Datos!BG13)/Datos!BG13),(((NºAsuntos!C13+NºAsuntos!E13)/NºAsuntos!G13)-Datos!BG13)/Datos!BG13," - ")</f>
        <v>7.1919295760285121E-2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0.14181818181818182</v>
      </c>
      <c r="C16" s="456">
        <f>IF(ISNUMBER(
   IF(D_I="SI",(Datos!J16-Datos!T16)/Datos!T16,(Datos!J16+Datos!AD16-(Datos!T16+Datos!AL16))/(Datos!T16+Datos!AL16))
     ),IF(D_I="SI",(Datos!J16-Datos!T16)/Datos!T16,(Datos!J16+Datos!AD16-(Datos!T16+Datos!AL16))/(Datos!T16+Datos!AL16))," - ")</f>
        <v>-1.8077734257306417E-2</v>
      </c>
      <c r="D16" s="456">
        <f>IF(ISNUMBER(
   IF(D_I="SI",(Datos!K16-Datos!U16)/Datos!U16,(Datos!K16+Datos!AE16-(Datos!U16+Datos!AM16))/(Datos!U16+Datos!AM16))
     ),IF(D_I="SI",(Datos!K16-Datos!U16)/Datos!U16,(Datos!K16+Datos!AE16-(Datos!U16+Datos!AM16))/(Datos!U16+Datos!AM16))," - ")</f>
        <v>-3.0284675953967293E-3</v>
      </c>
      <c r="E16" s="456">
        <f>IF(ISNUMBER(
   IF(D_I="SI",(Datos!L16-Datos!V16)/Datos!V16,(Datos!L16+Datos!AF16-(Datos!V16+Datos!AN16))/(Datos!V16+Datos!AN16))
     ),IF(D_I="SI",(Datos!L16-Datos!V16)/Datos!V16,(Datos!L16+Datos!AF16-(Datos!V16+Datos!AN16))/(Datos!V16+Datos!AN16))," - ")</f>
        <v>1.2738853503184714E-2</v>
      </c>
      <c r="F16" s="456">
        <f>IF(ISNUMBER((Datos!M16-Datos!W16)/Datos!W16),(Datos!M16-Datos!W16)/Datos!W16," - ")</f>
        <v>1.7006802721088437E-2</v>
      </c>
      <c r="G16" s="457">
        <f>IF(ISNUMBER((Datos!N16-Datos!X16)/Datos!X16),(Datos!N16-Datos!X16)/Datos!X16," - ")</f>
        <v>1.9129019129019129E-2</v>
      </c>
      <c r="H16" s="455">
        <f>IF(ISNUMBER(((NºAsuntos!G16/NºAsuntos!E16)-Datos!BD16)/Datos!BD16),((NºAsuntos!G16/NºAsuntos!E16)-Datos!BD16)/Datos!BD16," - ")</f>
        <v>1.5326332019293691E-2</v>
      </c>
      <c r="I16" s="456">
        <f>IF(ISNUMBER(((NºAsuntos!I16/NºAsuntos!G16)-Datos!BE16)/Datos!BE16),((NºAsuntos!I16/NºAsuntos!G16)-Datos!BE16)/Datos!BE16," - ")</f>
        <v>1.581521697069125E-2</v>
      </c>
      <c r="J16" s="461">
        <f>IF(ISNUMBER((('Resol  Asuntos'!D16/NºAsuntos!G16)-Datos!BF16)/Datos!BF16),(('Resol  Asuntos'!D16/NºAsuntos!G16)-Datos!BF16)/Datos!BF16," - ")</f>
        <v>2.0096130797397898E-2</v>
      </c>
      <c r="K16" s="462">
        <f>IF(ISNUMBER((((NºAsuntos!C16+NºAsuntos!E16)/NºAsuntos!G16)-Datos!BG16)/Datos!BG16),(((NºAsuntos!C16+NºAsuntos!E16)/NºAsuntos!G16)-Datos!BG16)/Datos!BG16," - ")</f>
        <v>-2.8231540213843392E-3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-0.10897435897435898</v>
      </c>
      <c r="D17" s="456">
        <f>IF(ISNUMBER(
   IF(D_I="SI",(Datos!K17-Datos!U17)/Datos!U17,(Datos!K17+Datos!AE17-(Datos!U17+Datos!AM17))/(Datos!U17+Datos!AM17))
     ),IF(D_I="SI",(Datos!K17-Datos!U17)/Datos!U17,(Datos!K17+Datos!AE17-(Datos!U17+Datos!AM17))/(Datos!U17+Datos!AM17))," - ")</f>
        <v>-9.7402597402597407E-2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-0.25454545454545452</v>
      </c>
      <c r="G17" s="457">
        <f>IF(ISNUMBER((Datos!N17-Datos!X17)/Datos!X17),(Datos!N17-Datos!X17)/Datos!X17," - ")</f>
        <v>0.43661971830985913</v>
      </c>
      <c r="H17" s="455">
        <f>IF(ISNUMBER(((NºAsuntos!G17/NºAsuntos!E17)-Datos!BD17)/Datos!BD17),((NºAsuntos!G17/NºAsuntos!E17)-Datos!BD17)/Datos!BD17," - ")</f>
        <v>1.2987012987012941E-2</v>
      </c>
      <c r="I17" s="456">
        <f>IF(ISNUMBER(((NºAsuntos!I17/NºAsuntos!G17)-Datos!BE17)/Datos!BE17),((NºAsuntos!I17/NºAsuntos!G17)-Datos!BE17)/Datos!BE17," - ")</f>
        <v>0.10791366906474828</v>
      </c>
      <c r="J17" s="461">
        <f>IF(ISNUMBER((('Resol  Asuntos'!D17/NºAsuntos!G17)-Datos!BF17)/Datos!BF17),(('Resol  Asuntos'!D17/NºAsuntos!G17)-Datos!BF17)/Datos!BF17," - ")</f>
        <v>-0.17410071942446045</v>
      </c>
      <c r="K17" s="462">
        <f>IF(ISNUMBER((((NºAsuntos!C17+NºAsuntos!E17)/NºAsuntos!G17)-Datos!BG17)/Datos!BG17),(((NºAsuntos!C17+NºAsuntos!E17)/NºAsuntos!G17)-Datos!BG17)/Datos!BG17," - ")</f>
        <v>4.0467625899281079E-3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0.14695340501792115</v>
      </c>
      <c r="C18" s="855">
        <f>IF(ISNUMBER(
   IF(Criterios!B14="SI",(Datos!J18-Datos!T18)/Datos!T18,(Datos!J18+Datos!AD18-(Datos!T18+Datos!AL18))/(Datos!T18+Datos!AL18))
     ),IF(Criterios!B14="SI",(Datos!J18-Datos!T18)/Datos!T18,(Datos!J18+Datos!AD18-(Datos!T18+Datos!AL18))/(Datos!T18+Datos!AL18))," - ")</f>
        <v>-2.2158273381294964E-2</v>
      </c>
      <c r="D18" s="855">
        <f>IF(ISNUMBER(
   IF(Criterios!B14="SI",(Datos!K18-Datos!U18)/Datos!U18,(Datos!K18+Datos!AE18-(Datos!U18+Datos!AM18))/(Datos!U18+Datos!AM18))
     ),IF(Criterios!B14="SI",(Datos!K18-Datos!U18)/Datos!U18,(Datos!K18+Datos!AE18-(Datos!U18+Datos!AM18))/(Datos!U18+Datos!AM18))," - ")</f>
        <v>-7.2337962962962963E-3</v>
      </c>
      <c r="E18" s="855">
        <f>IF(ISNUMBER(
   IF(Criterios!B14="SI",(Datos!L18-Datos!V18)/Datos!V18,(Datos!L18+Datos!AF18-(Datos!V18+Datos!AN18))/(Datos!V18+Datos!AN18))
     ),IF(Criterios!B14="SI",(Datos!L18-Datos!V18)/Datos!V18,(Datos!L18+Datos!AF18-(Datos!V18+Datos!AN18))/(Datos!V18+Datos!AN18))," - ")</f>
        <v>1.2500000000000001E-2</v>
      </c>
      <c r="F18" s="856">
        <f>IF(ISNUMBER((Datos!M18-Datos!W18)/Datos!W18),(Datos!M18-Datos!W18)/Datos!W18," - ")</f>
        <v>-2.5787965616045846E-2</v>
      </c>
      <c r="G18" s="857">
        <f>IF(ISNUMBER((Datos!N18-Datos!X18)/Datos!X18),(Datos!N18-Datos!X18)/Datos!X18," - ")</f>
        <v>3.0854430379746837E-2</v>
      </c>
      <c r="H18" s="857">
        <f>IF(ISNUMBER(((NºAsuntos!G18/NºAsuntos!E18)-Datos!BD18)/Datos!BD18),((NºAsuntos!G18/NºAsuntos!E18)-Datos!BD18)/Datos!BD18," - ")</f>
        <v>1.5262671533363893E-2</v>
      </c>
      <c r="I18" s="857">
        <f>IF(ISNUMBER(((NºAsuntos!I18/NºAsuntos!G18)-Datos!BE18)/Datos!BE18),((NºAsuntos!I18/NºAsuntos!G18)-Datos!BE18)/Datos!BE18," - ")</f>
        <v>1.9877586709414224E-2</v>
      </c>
      <c r="J18" s="857">
        <f>IF(ISNUMBER((('Resol  Asuntos'!D18/NºAsuntos!G18)-Datos!BF18)/Datos!BF18),(('Resol  Asuntos'!D18/NºAsuntos!G18)-Datos!BF18)/Datos!BF18," - ")</f>
        <v>-1.8689364374542203E-2</v>
      </c>
      <c r="K18" s="857">
        <f>IF(ISNUMBER((((NºAsuntos!C18+NºAsuntos!E18)/NºAsuntos!G18)-Datos!BG18)/Datos!BG18),(((NºAsuntos!C18+NºAsuntos!E18)/NºAsuntos!G18)-Datos!BG18)/Datos!BG18," - ")</f>
        <v>-2.3731414364656367E-3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0.10434782608695652</v>
      </c>
      <c r="C19" s="802">
        <f>IF(ISNUMBER(
   IF(J_V="SI",(Datos!J19-Datos!T19)/Datos!T19,(Datos!J19+Datos!Z19-(Datos!T19+Datos!AH19))/(Datos!T19+Datos!AH19))
     ),IF(J_V="SI",(Datos!J19-Datos!T19)/Datos!T19,(Datos!J19+Datos!Z19-(Datos!T19+Datos!AH19))/(Datos!T19+Datos!AH19))," - ")</f>
        <v>4.8196948682385575E-2</v>
      </c>
      <c r="D19" s="802">
        <f>IF(ISNUMBER(
   IF(J_V="SI",(Datos!K19-Datos!U19)/Datos!U19,(Datos!K19+Datos!AA19-(Datos!U19+Datos!AI19))/(Datos!U19+Datos!AI19))
     ),IF(J_V="SI",(Datos!K19-Datos!U19)/Datos!U19,(Datos!K19+Datos!AA19-(Datos!U19+Datos!AI19))/(Datos!U19+Datos!AI19))," - ")</f>
        <v>2.0010531858873092E-2</v>
      </c>
      <c r="E19" s="802">
        <f>IF(ISNUMBER(
   IF(J_V="SI",(Datos!L19-Datos!V19)/Datos!V19,(Datos!L19+Datos!AB19-(Datos!V19+Datos!AJ19))/(Datos!V19+Datos!AJ19))
     ),IF(J_V="SI",(Datos!L19-Datos!V19)/Datos!V19,(Datos!L19+Datos!AB19-(Datos!V19+Datos!AJ19))/(Datos!V19+Datos!AJ19))," - ")</f>
        <v>0.24059492563429571</v>
      </c>
      <c r="F19" s="803">
        <f>IF(ISNUMBER((Datos!M19-Datos!W19)/Datos!W19),(Datos!M19-Datos!W19)/Datos!W19," - ")</f>
        <v>0.38846153846153847</v>
      </c>
      <c r="G19" s="804">
        <f>IF(ISNUMBER((Datos!N19-Datos!X19)/Datos!X19),(Datos!N19-Datos!X19)/Datos!X19," - ")</f>
        <v>3.3783783783783786E-3</v>
      </c>
      <c r="H19" s="805">
        <f>IF(ISNUMBER((Tasas!B19-Datos!BD19)/Datos!BD19),(Tasas!B19-Datos!BD19)/Datos!BD19," - ")</f>
        <v>-2.6890382440955988E-2</v>
      </c>
      <c r="I19" s="806">
        <f>IF(ISNUMBER((Tasas!C19-Datos!BE19)/Datos!BE19),(Tasas!C19-Datos!BE19)/Datos!BE19," - ")</f>
        <v>0.21625697665437668</v>
      </c>
      <c r="J19" s="807">
        <f>IF(ISNUMBER((Tasas!D19-Datos!BF19)/Datos!BF19),(Tasas!D19-Datos!BF19)/Datos!BF19," - ")</f>
        <v>-0.22725346222605969</v>
      </c>
      <c r="K19" s="807">
        <f>IF(ISNUMBER((Tasas!E19-Datos!BG19)/Datos!BG19),(Tasas!E19-Datos!BG19)/Datos!BG19," - ")</f>
        <v>3.6008590761872801E-2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88xqFP4Tc5sWCkXI734K30+U4k4/6RiPQ1bLYoof5tGXKR//WzwEpNwStNS5yGc/Xym0eL9sgJr4XvvyuYHFQ==" saltValue="AEPK6E/NBlZgaW2zYGEz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TERUEL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1.25</v>
      </c>
      <c r="D10" s="444">
        <f>IF(ISNUMBER('Resol  Asuntos'!D10/NºAsuntos!G10),'Resol  Asuntos'!D10/NºAsuntos!G10," - ")</f>
        <v>1</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0.89829867674858221</v>
      </c>
      <c r="C12" s="443">
        <f>IF(ISNUMBER(NºAsuntos!I12/NºAsuntos!G12),NºAsuntos!I12/NºAsuntos!G12," - ")</f>
        <v>0.45833333333333331</v>
      </c>
      <c r="D12" s="444">
        <f>IF(ISNUMBER('Resol  Asuntos'!D12/NºAsuntos!G12),'Resol  Asuntos'!D12/NºAsuntos!G12," - ")</f>
        <v>0.31102693602693604</v>
      </c>
      <c r="E12" s="445">
        <f>IF(ISNUMBER((NºAsuntos!C12+NºAsuntos!E12)/NºAsuntos!G12),(NºAsuntos!C12+NºAsuntos!E12)/NºAsuntos!G12," - ")</f>
        <v>1.457070707070707</v>
      </c>
      <c r="G12" s="463"/>
    </row>
    <row r="13" spans="1:7" ht="14.25" thickTop="1" thickBot="1">
      <c r="A13" s="848" t="str">
        <f>Datos!A13</f>
        <v>TOTAL</v>
      </c>
      <c r="B13" s="858">
        <f>IF(ISNUMBER(NºAsuntos!G13/NºAsuntos!E13),NºAsuntos!G13/NºAsuntos!E13," - ")</f>
        <v>0.8987915407854985</v>
      </c>
      <c r="C13" s="859">
        <f>IF(ISNUMBER(NºAsuntos!I13/NºAsuntos!G13),NºAsuntos!I13/NºAsuntos!G13," - ")</f>
        <v>0.45966386554621846</v>
      </c>
      <c r="D13" s="860">
        <f>IF(ISNUMBER('Resol  Asuntos'!D13/NºAsuntos!G13),'Resol  Asuntos'!D13/NºAsuntos!G13," - ")</f>
        <v>0.31218487394957983</v>
      </c>
      <c r="E13" s="861">
        <f>IF(ISNUMBER((NºAsuntos!C13+NºAsuntos!E13)/NºAsuntos!G13),(NºAsuntos!C13+NºAsuntos!E13)/NºAsuntos!G13," - ")</f>
        <v>1.4584033613445377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1.0101258054617981</v>
      </c>
      <c r="C16" s="443">
        <f>IF(ISNUMBER(NºAsuntos!I16/NºAsuntos!G16),NºAsuntos!I16/NºAsuntos!G16," - ")</f>
        <v>9.6597812879708381E-2</v>
      </c>
      <c r="D16" s="444">
        <f>IF(ISNUMBER('Resol  Asuntos'!D16/NºAsuntos!G16),'Resol  Asuntos'!D16/NºAsuntos!G16," - ")</f>
        <v>9.082624544349939E-2</v>
      </c>
      <c r="E16" s="445">
        <f>IF(ISNUMBER((NºAsuntos!C16+NºAsuntos!E16)/NºAsuntos!G16),(NºAsuntos!C16+NºAsuntos!E16)/NºAsuntos!G16," - ")</f>
        <v>1.0853584447144593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4.3165467625899283E-2</v>
      </c>
      <c r="D17" s="444">
        <f>IF(ISNUMBER('Resol  Asuntos'!D17/NºAsuntos!G17),'Resol  Asuntos'!D17/NºAsuntos!G17," - ")</f>
        <v>0.29496402877697842</v>
      </c>
      <c r="E17" s="445">
        <f>IF(ISNUMBER((NºAsuntos!C17+NºAsuntos!E17)/NºAsuntos!G17),(NºAsuntos!C17+NºAsuntos!E17)/NºAsuntos!G17," - ")</f>
        <v>1.0431654676258992</v>
      </c>
      <c r="G17" s="463"/>
    </row>
    <row r="18" spans="1:7" ht="14.25" thickTop="1" thickBot="1">
      <c r="A18" s="848" t="str">
        <f>Datos!A18</f>
        <v>TOTAL</v>
      </c>
      <c r="B18" s="858">
        <f>IF(ISNUMBER(NºAsuntos!G18/NºAsuntos!E18),NºAsuntos!G18/NºAsuntos!E18," - ")</f>
        <v>1.0097115950559152</v>
      </c>
      <c r="C18" s="859">
        <f>IF(ISNUMBER(NºAsuntos!I18/NºAsuntos!G18),NºAsuntos!I18/NºAsuntos!G18," - ")</f>
        <v>9.4433109880501312E-2</v>
      </c>
      <c r="D18" s="862">
        <f>IF(ISNUMBER('Resol  Asuntos'!D18/NºAsuntos!G18),'Resol  Asuntos'!D18/NºAsuntos!G18," - ")</f>
        <v>9.9096473331390267E-2</v>
      </c>
      <c r="E18" s="861">
        <f>IF(ISNUMBER((NºAsuntos!C18+NºAsuntos!E18)/NºAsuntos!G18),(NºAsuntos!C18+NºAsuntos!E18)/NºAsuntos!G18," - ")</f>
        <v>1.0836490819003206</v>
      </c>
      <c r="G18" s="463"/>
    </row>
    <row r="19" spans="1:7" ht="15.75" customHeight="1" thickTop="1" thickBot="1">
      <c r="A19" s="793" t="str">
        <f>Datos!A19</f>
        <v>TOTAL JURISDICCIONES</v>
      </c>
      <c r="B19" s="808">
        <f>IF(ISNUMBER(NºAsuntos!G19/NºAsuntos!E19),NºAsuntos!G19/NºAsuntos!E19," - ")</f>
        <v>0.9611313264968574</v>
      </c>
      <c r="C19" s="809">
        <f>IF(ISNUMBER(NºAsuntos!I19/NºAsuntos!G19),NºAsuntos!I19/NºAsuntos!G19," - ")</f>
        <v>0.24401996214076752</v>
      </c>
      <c r="D19" s="810">
        <f>IF(ISNUMBER('Resol  Asuntos'!D19/NºAsuntos!G19),'Resol  Asuntos'!D19/NºAsuntos!G19," - ")</f>
        <v>0.18637067630356222</v>
      </c>
      <c r="E19" s="811">
        <f>IF(ISNUMBER((NºAsuntos!C19+NºAsuntos!E19)/NºAsuntos!G19),(NºAsuntos!C19+NºAsuntos!E19)/NºAsuntos!G19," - ")</f>
        <v>1.2371364653243848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0xDJVI4Z9b5o+xnvY/k5z3ZsovPKkDbo4DFb/VoC7NmUibuDZx7P6LWZXguJoum1Kh2KKmOxFLYhzXe1SKEbA==" saltValue="t6Jlb0Tn9qRppRqef0w0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TERUEL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13.75</v>
      </c>
      <c r="AN10" s="244">
        <f>IF(ISNUMBER('Resol  Asuntos'!D10/NºAsuntos!G10),'Resol  Asuntos'!D10/NºAsuntos!G10," - ")</f>
        <v>1</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725</v>
      </c>
      <c r="Y12" s="334">
        <f t="shared" si="0"/>
        <v>725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739</v>
      </c>
      <c r="AJ12" s="229" t="str">
        <f>IF(ISNUMBER(Datos!BW12),Datos!BW12," - ")</f>
        <v xml:space="preserve"> - </v>
      </c>
      <c r="AK12" s="228" t="str">
        <f>IF(ISNUMBER(Datos!BX12),Datos!BX12," - ")</f>
        <v xml:space="preserve"> - </v>
      </c>
      <c r="AL12" s="243">
        <f>IF(ISNUMBER(NºAsuntos!G12/NºAsuntos!E12),NºAsuntos!G12/NºAsuntos!E12," - ")</f>
        <v>0.89829867674858221</v>
      </c>
      <c r="AM12" s="260">
        <f>IF(ISNUMBER(((NºAsuntos!I12/NºAsuntos!G12)*11)/factor_trimestre),((NºAsuntos!I12/NºAsuntos!G12)*11)/factor_trimestre," - ")</f>
        <v>5.0416666666666661</v>
      </c>
      <c r="AN12" s="244">
        <f>IF(ISNUMBER('Resol  Asuntos'!D12/NºAsuntos!G12),'Resol  Asuntos'!D12/NºAsuntos!G12," - ")</f>
        <v>0.31102693602693604</v>
      </c>
      <c r="AO12" s="245">
        <f>IF(ISNUMBER((NºAsuntos!C12+NºAsuntos!E12)/NºAsuntos!G12),(NºAsuntos!C12+NºAsuntos!E12)/NºAsuntos!G12," - ")</f>
        <v>1.457070707070707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465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725</v>
      </c>
      <c r="Y13" s="868">
        <f t="shared" si="4"/>
        <v>729</v>
      </c>
      <c r="Z13" s="868">
        <f t="shared" si="4"/>
        <v>0</v>
      </c>
      <c r="AA13" s="868">
        <f t="shared" si="4"/>
        <v>5</v>
      </c>
      <c r="AB13" s="868">
        <f t="shared" si="4"/>
        <v>1221</v>
      </c>
      <c r="AC13" s="868">
        <f t="shared" si="4"/>
        <v>8</v>
      </c>
      <c r="AD13" s="868">
        <f t="shared" si="4"/>
        <v>0</v>
      </c>
      <c r="AE13" s="872">
        <f t="shared" si="4"/>
        <v>0</v>
      </c>
      <c r="AF13" s="865">
        <f t="shared" si="4"/>
        <v>0</v>
      </c>
      <c r="AG13" s="873">
        <f t="shared" si="4"/>
        <v>0</v>
      </c>
      <c r="AH13" s="870">
        <f t="shared" si="4"/>
        <v>0</v>
      </c>
      <c r="AI13" s="865">
        <f t="shared" si="4"/>
        <v>743</v>
      </c>
      <c r="AJ13" s="867">
        <f t="shared" si="4"/>
        <v>0</v>
      </c>
      <c r="AK13" s="870">
        <f>SUBTOTAL(9,AK9:AK12)</f>
        <v>0</v>
      </c>
      <c r="AL13" s="874">
        <f>IF(ISNUMBER(NºAsuntos!G13/NºAsuntos!E13),NºAsuntos!G13/NºAsuntos!E13," - ")</f>
        <v>0.8987915407854985</v>
      </c>
      <c r="AM13" s="874">
        <f>IF(ISNUMBER(((NºAsuntos!I13/NºAsuntos!G13)*11)/factor_trimestre),((NºAsuntos!I13/NºAsuntos!G13)*11)/factor_trimestre," - ")</f>
        <v>5.0563025210084032</v>
      </c>
      <c r="AN13" s="875">
        <f>IF(ISNUMBER('Resol  Asuntos'!D13/NºAsuntos!G13),'Resol  Asuntos'!D13/NºAsuntos!G13," - ")</f>
        <v>0.31218487394957983</v>
      </c>
      <c r="AO13" s="876">
        <f>IF(ISNUMBER((NºAsuntos!C13+NºAsuntos!E13)/NºAsuntos!G13),(NºAsuntos!C13+NºAsuntos!E13)/NºAsuntos!G13," - ")</f>
        <v>1.4584033613445377</v>
      </c>
      <c r="AP13" s="877" t="str">
        <f t="shared" si="2"/>
        <v xml:space="preserve"> - </v>
      </c>
      <c r="AQ13" s="877">
        <f>IF(ISNUMBER((H13-W13+K13)/(F13)),(H13-W13+K13)/(F13)," - ")</f>
        <v>-0.66666666666666663</v>
      </c>
      <c r="AR13" s="878">
        <f>IF(ISNUMBER((Datos!P13-Datos!Q13)/(Datos!R13-Datos!P13+Datos!Q13)),(Datos!P13-Datos!Q13)/(Datos!R13-Datos!P13+Datos!Q13)," - ")</f>
        <v>-0.17555705604321403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351</v>
      </c>
      <c r="G16" s="333">
        <f>IF(ISNUMBER(IF(D_I="SI",Datos!I16,Datos!I16+Datos!AC16)),IF(D_I="SI",Datos!I16,Datos!I16+Datos!AC16)," - ")</f>
        <v>314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3292</v>
      </c>
      <c r="X16" s="226">
        <f>IF(ISNUMBER(Datos!Q16),Datos!Q16," - ")</f>
        <v>30</v>
      </c>
      <c r="Y16" s="334">
        <f t="shared" ref="Y16:Y17" si="7">SUM(W16:X16)</f>
        <v>3322</v>
      </c>
      <c r="Z16" s="335" t="str">
        <f>IF(ISNUMBER(Datos!CC16),Datos!CC16," - ")</f>
        <v xml:space="preserve"> - </v>
      </c>
      <c r="AA16" s="332">
        <f>IF(ISNUMBER(IF(D_I="SI",Datos!L16,Datos!L16+Datos!AF16)),IF(D_I="SI",Datos!L16,Datos!L16+Datos!AF16)," - ")</f>
        <v>318</v>
      </c>
      <c r="AB16" s="334">
        <f>IF(ISNUMBER(Datos!R16),Datos!R16," - ")</f>
        <v>95</v>
      </c>
      <c r="AC16" s="334">
        <f t="shared" si="6"/>
        <v>413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299</v>
      </c>
      <c r="AJ16" s="231" t="str">
        <f>IF(ISNUMBER(Datos!BW16),Datos!BW16," - ")</f>
        <v xml:space="preserve"> - </v>
      </c>
      <c r="AK16" s="232" t="str">
        <f>IF(ISNUMBER(Datos!BX16),Datos!BX16," - ")</f>
        <v xml:space="preserve"> - </v>
      </c>
      <c r="AL16" s="243">
        <f>IF(ISNUMBER(NºAsuntos!G16/NºAsuntos!E16),NºAsuntos!G16/NºAsuntos!E16," - ")</f>
        <v>1.0101258054617981</v>
      </c>
      <c r="AM16" s="260">
        <f>IF(ISNUMBER(((NºAsuntos!I16/NºAsuntos!G16)*11)/factor_trimestre),((NºAsuntos!I16/NºAsuntos!G16)*11)/factor_trimestre," - ")</f>
        <v>1.0625759416767921</v>
      </c>
      <c r="AN16" s="244">
        <f>IF(ISNUMBER('Resol  Asuntos'!D16/NºAsuntos!G16),'Resol  Asuntos'!D16/NºAsuntos!G16," - ")</f>
        <v>9.082624544349939E-2</v>
      </c>
      <c r="AO16" s="245">
        <f>IF(ISNUMBER((NºAsuntos!C16+NºAsuntos!E16)/NºAsuntos!G16),(NºAsuntos!C16+NºAsuntos!E16)/NºAsuntos!G16," - ")</f>
        <v>1.0853584447144593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139</v>
      </c>
      <c r="X17" s="226">
        <f>IF(ISNUMBER(Datos!Q17),Datos!Q17," - ")</f>
        <v>0</v>
      </c>
      <c r="Y17" s="334">
        <f t="shared" si="7"/>
        <v>139</v>
      </c>
      <c r="Z17" s="335" t="str">
        <f>IF(ISNUMBER(Datos!CC17),Datos!CC17," - ")</f>
        <v xml:space="preserve"> - </v>
      </c>
      <c r="AA17" s="332">
        <f>IF(ISNUMBER(Datos!L17),Datos!L17,"-")</f>
        <v>6</v>
      </c>
      <c r="AB17" s="334">
        <f>IF(ISNUMBER(Datos!R17),Datos!R17," - ")</f>
        <v>5</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0.47482014388489213</v>
      </c>
      <c r="AN17" s="244">
        <f>IF(ISNUMBER('Resol  Asuntos'!D17/NºAsuntos!G17),'Resol  Asuntos'!D17/NºAsuntos!G17," - ")</f>
        <v>0.29496402877697842</v>
      </c>
      <c r="AO17" s="245">
        <f>IF(ISNUMBER((NºAsuntos!C17+NºAsuntos!E17)/NºAsuntos!G17),(NºAsuntos!C17+NºAsuntos!E17)/NºAsuntos!G17," - ")</f>
        <v>1.0431654676258992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351</v>
      </c>
      <c r="G18" s="866">
        <f>SUBTOTAL(9,G15:G17)</f>
        <v>320</v>
      </c>
      <c r="H18" s="865">
        <f t="shared" ref="H18:O18" si="10">SUBTOTAL(9,H14:H17)</f>
        <v>0</v>
      </c>
      <c r="I18" s="867">
        <f t="shared" si="10"/>
        <v>0</v>
      </c>
      <c r="J18" s="867">
        <f t="shared" si="10"/>
        <v>0</v>
      </c>
      <c r="K18" s="867">
        <f t="shared" si="10"/>
        <v>0</v>
      </c>
      <c r="L18" s="867">
        <f t="shared" si="10"/>
        <v>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3431</v>
      </c>
      <c r="X18" s="867">
        <f t="shared" si="11"/>
        <v>30</v>
      </c>
      <c r="Y18" s="868">
        <f t="shared" si="11"/>
        <v>3461</v>
      </c>
      <c r="Z18" s="868">
        <f t="shared" si="11"/>
        <v>0</v>
      </c>
      <c r="AA18" s="868">
        <f t="shared" si="11"/>
        <v>324</v>
      </c>
      <c r="AB18" s="868">
        <f t="shared" si="11"/>
        <v>100</v>
      </c>
      <c r="AC18" s="868">
        <f t="shared" si="11"/>
        <v>424</v>
      </c>
      <c r="AD18" s="868">
        <f t="shared" si="11"/>
        <v>0</v>
      </c>
      <c r="AE18" s="872">
        <f t="shared" si="11"/>
        <v>0</v>
      </c>
      <c r="AF18" s="865">
        <f t="shared" si="11"/>
        <v>0</v>
      </c>
      <c r="AG18" s="873">
        <f t="shared" si="11"/>
        <v>0</v>
      </c>
      <c r="AH18" s="870">
        <f t="shared" si="11"/>
        <v>0</v>
      </c>
      <c r="AI18" s="865">
        <f t="shared" si="11"/>
        <v>340</v>
      </c>
      <c r="AJ18" s="867">
        <f t="shared" si="11"/>
        <v>0</v>
      </c>
      <c r="AK18" s="870">
        <f t="shared" si="11"/>
        <v>0</v>
      </c>
      <c r="AL18" s="874">
        <f>IF(ISNUMBER(NºAsuntos!G18/NºAsuntos!E18),NºAsuntos!G18/NºAsuntos!E18," - ")</f>
        <v>1.0097115950559152</v>
      </c>
      <c r="AM18" s="874">
        <f>IF(ISNUMBER(((NºAsuntos!I18/NºAsuntos!G18)*11)/factor_trimestre),((NºAsuntos!I18/NºAsuntos!G18)*11)/factor_trimestre," - ")</f>
        <v>1.0387642086855144</v>
      </c>
      <c r="AN18" s="875">
        <f>IF(ISNUMBER('Resol  Asuntos'!D18/NºAsuntos!G18),'Resol  Asuntos'!D18/NºAsuntos!G18," - ")</f>
        <v>9.9096473331390267E-2</v>
      </c>
      <c r="AO18" s="876">
        <f>IF(ISNUMBER((NºAsuntos!C18+NºAsuntos!E18)/NºAsuntos!G18),(NºAsuntos!C18+NºAsuntos!E18)/NºAsuntos!G18," - ")</f>
        <v>1.0836490819003206</v>
      </c>
      <c r="AP18" s="877" t="str">
        <f t="shared" si="2"/>
        <v xml:space="preserve"> - </v>
      </c>
      <c r="AQ18" s="877">
        <f>IF(ISNUMBER((H18-W18+K18)/(F18)),(H18-W18+K18)/(F18)," - ")</f>
        <v>-9.7749287749287745</v>
      </c>
      <c r="AR18" s="878">
        <f>IF(ISNUMBER((Datos!P18-Datos!Q18)/(Datos!R18-Datos!P18+Datos!Q18)),(Datos!P18-Datos!Q18)/(Datos!R18-Datos!P18+Datos!Q18)," - ")</f>
        <v>0.3888888888888889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357</v>
      </c>
      <c r="G19" s="821">
        <f t="shared" si="13"/>
        <v>326</v>
      </c>
      <c r="H19" s="820">
        <f t="shared" si="13"/>
        <v>0</v>
      </c>
      <c r="I19" s="822">
        <f t="shared" si="13"/>
        <v>0</v>
      </c>
      <c r="J19" s="822">
        <f t="shared" si="13"/>
        <v>0</v>
      </c>
      <c r="K19" s="881">
        <f t="shared" si="13"/>
        <v>0</v>
      </c>
      <c r="L19" s="822">
        <f t="shared" si="13"/>
        <v>523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3435</v>
      </c>
      <c r="X19" s="821">
        <f t="shared" si="14"/>
        <v>755</v>
      </c>
      <c r="Y19" s="828">
        <f t="shared" si="14"/>
        <v>4190</v>
      </c>
      <c r="Z19" s="828">
        <f t="shared" si="14"/>
        <v>0</v>
      </c>
      <c r="AA19" s="828">
        <f t="shared" si="14"/>
        <v>329</v>
      </c>
      <c r="AB19" s="828">
        <f t="shared" si="14"/>
        <v>1321</v>
      </c>
      <c r="AC19" s="828">
        <f t="shared" si="14"/>
        <v>432</v>
      </c>
      <c r="AD19" s="828">
        <f t="shared" si="14"/>
        <v>0</v>
      </c>
      <c r="AE19" s="830">
        <f t="shared" si="14"/>
        <v>0</v>
      </c>
      <c r="AF19" s="831">
        <f t="shared" si="14"/>
        <v>0</v>
      </c>
      <c r="AG19" s="832">
        <f t="shared" si="14"/>
        <v>0</v>
      </c>
      <c r="AH19" s="830">
        <f t="shared" si="14"/>
        <v>0</v>
      </c>
      <c r="AI19" s="820">
        <f t="shared" si="14"/>
        <v>1083</v>
      </c>
      <c r="AJ19" s="820">
        <f t="shared" si="14"/>
        <v>0</v>
      </c>
      <c r="AK19" s="830">
        <f t="shared" si="14"/>
        <v>0</v>
      </c>
      <c r="AL19" s="884">
        <f>IF(ISNUMBER(NºAsuntos!G19/NºAsuntos!E19),NºAsuntos!G19/NºAsuntos!E19," - ")</f>
        <v>0.9611313264968574</v>
      </c>
      <c r="AM19" s="885">
        <f>IF(ISNUMBER(((NºAsuntos!I19/NºAsuntos!G19)*11)/factor_trimestre),((NºAsuntos!I19/NºAsuntos!G19)*11)/factor_trimestre," - ")</f>
        <v>2.6842195835484426</v>
      </c>
      <c r="AN19" s="885">
        <f>IF(ISNUMBER('Resol  Asuntos'!D19/NºAsuntos!G19),'Resol  Asuntos'!D19/NºAsuntos!G19," - ")</f>
        <v>0.18637067630356222</v>
      </c>
      <c r="AO19" s="886">
        <f>IF(ISNUMBER((NºAsuntos!C19+NºAsuntos!E19)/NºAsuntos!G19),(NºAsuntos!C19+NºAsuntos!E19)/NºAsuntos!G19," - ")</f>
        <v>1.2371364653243848</v>
      </c>
      <c r="AP19" s="887" t="str">
        <f t="shared" si="2"/>
        <v xml:space="preserve"> - </v>
      </c>
      <c r="AQ19" s="888">
        <f>IF(OR(ISNUMBER(FIND("01",Criterios!A8,1)),ISNUMBER(FIND("02",Criterios!A8,1)),ISNUMBER(FIND("03",Criterios!A8,1)),ISNUMBER(FIND("04",Criterios!A8,1))),(I19-W19+K19)/(F19-K19),(H19-W19+K19)/(F19-K19))</f>
        <v>-9.6218487394957979</v>
      </c>
      <c r="AR19" s="889">
        <f>IF(ISNUMBER((Datos!P19-Datos!Q19)/(Datos!R19-Datos!P19+Datos!Q19)),(Datos!P19-Datos!Q19)/(Datos!R19-Datos!P19+Datos!Q19)," - ")</f>
        <v>-0.14938828074694141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199.18584287042088</v>
      </c>
      <c r="G21" s="253">
        <f>IF(ISNUMBER(STDEV(G8:G18)),STDEV(G8:G18),"-")</f>
        <v>170.35492361537428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1815.833004436256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323.40129869869105</v>
      </c>
      <c r="AJ21" s="252">
        <f t="shared" si="18"/>
        <v>0</v>
      </c>
      <c r="AK21" s="254">
        <f t="shared" si="18"/>
        <v>0</v>
      </c>
      <c r="AL21" s="249">
        <f t="shared" si="18"/>
        <v>0.16008198560426873</v>
      </c>
      <c r="AM21" s="250">
        <f t="shared" si="18"/>
        <v>5.0221153782899757</v>
      </c>
      <c r="AN21" s="250">
        <f t="shared" si="18"/>
        <v>0.33424258413377084</v>
      </c>
      <c r="AO21" s="251">
        <f t="shared" si="18"/>
        <v>0.45945464145591003</v>
      </c>
      <c r="AP21" s="291" t="str">
        <f t="shared" si="18"/>
        <v>-</v>
      </c>
      <c r="AQ21" s="292">
        <f t="shared" si="18"/>
        <v>6.4405139015766171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JNTDKC1wEwhFM7VIY0/fTmXGFud7Q7u4qc2ToVR0NfvNZ35UBMiXcmHGY1efpjleCGtEwte8vABw0hrPxcu1g==" saltValue="3crAZTssjVJE7f5AJnJL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TERUEL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-0.7</v>
      </c>
      <c r="F10" s="348">
        <f>IF(ISNUMBER((Datos!K10-Datos!U10)/Datos!U10),(Datos!K10-Datos!U10)/Datos!U10," - ")</f>
        <v>-0.55555555555555558</v>
      </c>
      <c r="G10" s="349">
        <f>IF(ISNUMBER((Datos!L10-Datos!V10)/Datos!V10),(Datos!L10-Datos!V10)/Datos!V10," - ")</f>
        <v>-0.16666666666666666</v>
      </c>
      <c r="H10" s="230">
        <f>IF(ISNUMBER((Datos!M10-Datos!W10)/Datos!W10),(Datos!M10-Datos!W10)/Datos!W10," - ")</f>
        <v>3</v>
      </c>
      <c r="I10" s="350">
        <f>IF(ISNUMBER((Tasas!C10-Datos!BE10)/Datos!BE10),(Tasas!C10-Datos!BE10)/Datos!BE10," - ")</f>
        <v>0.87500000000000011</v>
      </c>
      <c r="J10" s="349">
        <f>IF(ISNUMBER((Tasas!D10-Datos!BF10)/Datos!BF10),(Tasas!D10-Datos!BF10)/Datos!BF10," - ")</f>
        <v>8</v>
      </c>
      <c r="K10" s="351">
        <f>IF(ISNUMBER((Tasas!E10-Datos!BG10)/Datos!BG10),(Tasas!E10-Datos!BG10)/Datos!BG10," - ")</f>
        <v>0.34999999999999992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0.71860465116279071</v>
      </c>
      <c r="I12" s="350">
        <f>IF(ISNUMBER((Tasas!C12-Datos!BE12)/Datos!BE12),(Tasas!C12-Datos!BE12)/Datos!BE12," - ")</f>
        <v>0.25214198286413697</v>
      </c>
      <c r="J12" s="349">
        <f>IF(ISNUMBER((Tasas!D12-Datos!BF12)/Datos!BF12),(Tasas!D12-Datos!BF12)/Datos!BF12," - ")</f>
        <v>-0.32205847537878785</v>
      </c>
      <c r="K12" s="351">
        <f>IF(ISNUMBER((Tasas!E12-Datos!BG12)/Datos!BG12),(Tasas!E12-Datos!BG12)/Datos!BG12," - ")</f>
        <v>7.1912267034218186E-2</v>
      </c>
      <c r="M12" t="e">
        <f>IF(Monitorios="SI",Datos!CE12,0)</f>
        <v>#REF!</v>
      </c>
      <c r="N12" t="e">
        <f>IF(Monitorios="SI",Datos!CF12,0)</f>
        <v>#REF!</v>
      </c>
      <c r="O12" t="e">
        <f>IF(Monitorios="SI",Datos!CG12,0)</f>
        <v>#REF!</v>
      </c>
      <c r="P12" t="e">
        <f>IF(Monitorios="SI",Datos!CH12,0)</f>
        <v>#REF!</v>
      </c>
      <c r="Q12">
        <f>IF(J_V="SI",0,Datos!AG12)</f>
        <v>32</v>
      </c>
      <c r="R12">
        <f>IF(J_V="SI",0,Datos!AH12)</f>
        <v>142</v>
      </c>
      <c r="S12">
        <f>IF(J_V="SI",0,Datos!AI12)</f>
        <v>144</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0.72389791183294661</v>
      </c>
      <c r="I13" s="357">
        <f>IF(ISNUMBER((Tasas!C13-Datos!BE13)/Datos!BE13),(Tasas!C13-Datos!BE13)/Datos!BE13," - ")</f>
        <v>0.25164850873520733</v>
      </c>
      <c r="J13" s="355">
        <f>IF(ISNUMBER((Tasas!D13-Datos!BF13)/Datos!BF13),(Tasas!D13-Datos!BF13)/Datos!BF13," - ")</f>
        <v>-0.31745726583316253</v>
      </c>
      <c r="K13" s="358">
        <f>IF(ISNUMBER((Tasas!E13-Datos!BG13)/Datos!BG13),(Tasas!E13-Datos!BG13)/Datos!BG13," - ")</f>
        <v>7.1919295760285121E-2</v>
      </c>
      <c r="M13" t="e">
        <f>IF(Monitorios="SI",Datos!CE13,0)</f>
        <v>#REF!</v>
      </c>
      <c r="N13" t="e">
        <f>IF(Monitorios="SI",Datos!CF13,0)</f>
        <v>#REF!</v>
      </c>
      <c r="O13" t="e">
        <f>IF(Monitorios="SI",Datos!CG13,0)</f>
        <v>#REF!</v>
      </c>
      <c r="P13" t="e">
        <f>IF(Monitorios="SI",Datos!CH13,0)</f>
        <v>#REF!</v>
      </c>
      <c r="Q13">
        <f>IF(J_V="SI",0,Datos!AG13)</f>
        <v>32</v>
      </c>
      <c r="R13">
        <f>IF(J_V="SI",0,Datos!AH13)</f>
        <v>142</v>
      </c>
      <c r="S13">
        <f>IF(J_V="SI",0,Datos!AI13)</f>
        <v>144</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0.14181818181818182</v>
      </c>
      <c r="E16" s="348">
        <f>IF(ISNUMBER(
   IF(D_I="SI",(Datos!J16-Datos!T16)/Datos!T16,(Datos!J16+Datos!AD16-(Datos!T16+Datos!AL16))/(Datos!T16+Datos!AL16))
     ),IF(D_I="SI",(Datos!J16-Datos!T16)/Datos!T16,(Datos!J16+Datos!AD16-(Datos!T16+Datos!AL16))/(Datos!T16+Datos!AL16))," - ")</f>
        <v>-1.8077734257306417E-2</v>
      </c>
      <c r="F16" s="348">
        <f>IF(ISNUMBER(
   IF(D_I="SI",(Datos!K16-Datos!U16)/Datos!U16,(Datos!K16+Datos!AE16-(Datos!U16+Datos!AM16))/(Datos!U16+Datos!AM16))
     ),IF(D_I="SI",(Datos!K16-Datos!U16)/Datos!U16,(Datos!K16+Datos!AE16-(Datos!U16+Datos!AM16))/(Datos!U16+Datos!AM16))," - ")</f>
        <v>-3.0284675953967293E-3</v>
      </c>
      <c r="G16" s="349">
        <f>IF(ISNUMBER(
   IF(D_I="SI",(Datos!L16-Datos!V16)/Datos!V16,(Datos!L16+Datos!AF16-(Datos!V16+Datos!AN16))/(Datos!V16+Datos!AN16))
     ),IF(D_I="SI",(Datos!L16-Datos!V16)/Datos!V16,(Datos!L16+Datos!AF16-(Datos!V16+Datos!AN16))/(Datos!V16+Datos!AN16))," - ")</f>
        <v>1.2738853503184714E-2</v>
      </c>
      <c r="H16" s="230">
        <f>IF(ISNUMBER((Datos!M16-Datos!W16)/Datos!W16),(Datos!M16-Datos!W16)/Datos!W16," - ")</f>
        <v>1.7006802721088437E-2</v>
      </c>
      <c r="I16" s="350">
        <f>IF(ISNUMBER((Tasas!C16-Datos!BE16)/Datos!BE16),(Tasas!C16-Datos!BE16)/Datos!BE16," - ")</f>
        <v>1.581521697069125E-2</v>
      </c>
      <c r="J16" s="349">
        <f>IF(ISNUMBER((Tasas!D16-Datos!BF16)/Datos!BF16),(Tasas!D16-Datos!BF16)/Datos!BF16," - ")</f>
        <v>2.0096130797397898E-2</v>
      </c>
      <c r="K16" s="351">
        <f>IF(ISNUMBER((Tasas!E16-Datos!BG16)/Datos!BG16),(Tasas!E16-Datos!BG16)/Datos!BG16," - ")</f>
        <v>-2.8231540213843392E-3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-0.10897435897435898</v>
      </c>
      <c r="F17" s="348">
        <f>IF(ISNUMBER(
   IF(D_I="SI",(Datos!K17-Datos!U17)/Datos!U17,(Datos!K17+Datos!AE17-(Datos!U17+Datos!AM17))/(Datos!U17+Datos!AM17))
     ),IF(D_I="SI",(Datos!K17-Datos!U17)/Datos!U17,(Datos!K17+Datos!AE17-(Datos!U17+Datos!AM17))/(Datos!U17+Datos!AM17))," - ")</f>
        <v>-9.7402597402597407E-2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-0.25454545454545452</v>
      </c>
      <c r="I17" s="350">
        <f>IF(ISNUMBER((Tasas!C17-Datos!BE17)/Datos!BE17),(Tasas!C17-Datos!BE17)/Datos!BE17," - ")</f>
        <v>0.10791366906474828</v>
      </c>
      <c r="J17" s="349">
        <f>IF(ISNUMBER((Tasas!D17-Datos!BF17)/Datos!BF17),(Tasas!D17-Datos!BF17)/Datos!BF17," - ")</f>
        <v>-0.17410071942446045</v>
      </c>
      <c r="K17" s="351">
        <f>IF(ISNUMBER((Tasas!E17-Datos!BG17)/Datos!BG17),(Tasas!E17-Datos!BG17)/Datos!BG17," - ")</f>
        <v>4.0467625899281079E-3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0.14695340501792115</v>
      </c>
      <c r="E18" s="354">
        <f>IF(ISNUMBER(
   IF(D_I="SI",(Datos!J18-Datos!T18)/Datos!T18,(Datos!J18+Datos!AD18-(Datos!T18+Datos!AL18))/(Datos!T18+Datos!AL18))
     ),IF(D_I="SI",(Datos!J18-Datos!T18)/Datos!T18,(Datos!J18+Datos!AD18-(Datos!T18+Datos!AL18))/(Datos!T18+Datos!AL18))," - ")</f>
        <v>-2.2158273381294964E-2</v>
      </c>
      <c r="F18" s="354">
        <f>IF(ISNUMBER(
   IF(D_I="SI",(Datos!K18-Datos!U18)/Datos!U18,(Datos!K18+Datos!AE18-(Datos!U18+Datos!AM18))/(Datos!U18+Datos!AM18))
     ),IF(D_I="SI",(Datos!K18-Datos!U18)/Datos!U18,(Datos!K18+Datos!AE18-(Datos!U18+Datos!AM18))/(Datos!U18+Datos!AM18))," - ")</f>
        <v>-7.2337962962962963E-3</v>
      </c>
      <c r="G18" s="355">
        <f>IF(ISNUMBER(
   IF(D_I="SI",(Datos!L18-Datos!V18)/Datos!V18,(Datos!L18+Datos!AF18-(Datos!V18+Datos!AN18))/(Datos!V18+Datos!AN18))
     ),IF(D_I="SI",(Datos!L18-Datos!V18)/Datos!V18,(Datos!L18+Datos!AF18-(Datos!V18+Datos!AN18))/(Datos!V18+Datos!AN18))," - ")</f>
        <v>1.2500000000000001E-2</v>
      </c>
      <c r="H18" s="356">
        <f>IF(ISNUMBER((Datos!M18-Datos!W18)/Datos!W18),(Datos!M18-Datos!W18)/Datos!W18," - ")</f>
        <v>-2.5787965616045846E-2</v>
      </c>
      <c r="I18" s="357">
        <f>IF(ISNUMBER((Tasas!C18-Datos!BE18)/Datos!BE18),(Tasas!C18-Datos!BE18)/Datos!BE18," - ")</f>
        <v>1.9877586709414224E-2</v>
      </c>
      <c r="J18" s="355">
        <f>IF(ISNUMBER((Tasas!D18-Datos!BF18)/Datos!BF18),(Tasas!D18-Datos!BF18)/Datos!BF18," - ")</f>
        <v>-1.8689364374542203E-2</v>
      </c>
      <c r="K18" s="358">
        <f>IF(ISNUMBER((Tasas!E18-Datos!BG18)/Datos!BG18),(Tasas!E18-Datos!BG18)/Datos!BG18," - ")</f>
        <v>-2.3731414364656367E-3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0.10434782608695652</v>
      </c>
      <c r="E19" s="363">
        <f>IF(ISNUMBER(
   IF(J_V="SI",(Datos!J19-Datos!T19)/Datos!T19,(Datos!J19+Datos!Z19-(Datos!T19+Datos!AH19))/(Datos!T19+Datos!AH19))
     ),IF(J_V="SI",(Datos!J19-Datos!T19)/Datos!T19,(Datos!J19+Datos!Z19-(Datos!T19+Datos!AH19))/(Datos!T19+Datos!AH19))," - ")</f>
        <v>4.8196948682385575E-2</v>
      </c>
      <c r="F19" s="363">
        <f>IF(ISNUMBER(
   IF(J_V="SI",(Datos!K19-Datos!U19)/Datos!U19,(Datos!K19+Datos!AA19-(Datos!U19+Datos!AI19))/(Datos!U19+Datos!AI19))
     ),IF(J_V="SI",(Datos!K19-Datos!U19)/Datos!U19,(Datos!K19+Datos!AA19-(Datos!U19+Datos!AI19))/(Datos!U19+Datos!AI19))," - ")</f>
        <v>2.0010531858873092E-2</v>
      </c>
      <c r="G19" s="364">
        <f>IF(ISNUMBER(
   IF(J_V="SI",(Datos!L19-Datos!V19)/Datos!V19,(Datos!L19+Datos!AB19-(Datos!V19+Datos!AJ19))/(Datos!V19+Datos!AJ19))
     ),IF(J_V="SI",(Datos!L19-Datos!V19)/Datos!V19,(Datos!L19+Datos!AB19-(Datos!V19+Datos!AJ19))/(Datos!V19+Datos!AJ19))," - ")</f>
        <v>0.24059492563429571</v>
      </c>
      <c r="H19" s="365">
        <f>IF(ISNUMBER((Datos!M19-Datos!W19)/Datos!W19),(Datos!M19-Datos!W19)/Datos!W19," - ")</f>
        <v>0.38846153846153847</v>
      </c>
      <c r="I19" s="362">
        <f>IF(ISNUMBER((Tasas!C19-Datos!BE19)/Datos!BE19),(Tasas!C19-Datos!BE19)/Datos!BE19," - ")</f>
        <v>0.21625697665437668</v>
      </c>
      <c r="J19" s="363">
        <f>IF(ISNUMBER((Tasas!D19-Datos!BF19)/Datos!BF19),(Tasas!D19-Datos!BF19)/Datos!BF19," - ")</f>
        <v>-0.22725346222605969</v>
      </c>
      <c r="K19" s="364">
        <f>IF(ISNUMBER((Tasas!E19-Datos!BG19)/Datos!BG19),(Tasas!E19-Datos!BG19)/Datos!BG19," - ")</f>
        <v>3.6008590761872801E-2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0.17057782896865561</v>
      </c>
      <c r="E21" s="278">
        <f t="shared" si="1"/>
        <v>0.3278229414273609</v>
      </c>
      <c r="F21" s="278">
        <f t="shared" si="1"/>
        <v>0.2634548730381393</v>
      </c>
      <c r="G21" s="279">
        <f t="shared" si="1"/>
        <v>8.7741760453241779E-2</v>
      </c>
      <c r="H21" s="285">
        <f t="shared" si="1"/>
        <v>1.1996040907774546</v>
      </c>
      <c r="I21" s="277">
        <f t="shared" si="1"/>
        <v>0.32203604295465971</v>
      </c>
      <c r="J21" s="278">
        <f t="shared" si="1"/>
        <v>3.3354113210972498</v>
      </c>
      <c r="K21" s="279">
        <f t="shared" si="1"/>
        <v>0.13595426223814516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LzrglNYUpfs1EoOjqM1o8792g2LQ0zpirg7EGS4DDYnBIs1mytEwpKYri8MZ05l2TU4JUkHxh67hkgASx+VIg==" saltValue="PCN/cFt9Qkm2ZMo6Ytdj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